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\catr\WAP\Website\Posted\Program Guidance Webpage\Program Forms\3-Assessment Calculators\"/>
    </mc:Choice>
  </mc:AlternateContent>
  <bookViews>
    <workbookView xWindow="120" yWindow="132" windowWidth="24912" windowHeight="11568"/>
  </bookViews>
  <sheets>
    <sheet name="Degradation Calculator" sheetId="1" r:id="rId1"/>
    <sheet name="Sheet1" sheetId="2" state="hidden" r:id="rId2"/>
    <sheet name="Sheet2" sheetId="3" state="hidden" r:id="rId3"/>
  </sheets>
  <calcPr calcId="162913"/>
</workbook>
</file>

<file path=xl/calcChain.xml><?xml version="1.0" encoding="utf-8"?>
<calcChain xmlns="http://schemas.openxmlformats.org/spreadsheetml/2006/main">
  <c r="I21" i="1" l="1"/>
  <c r="I35" i="1" l="1"/>
  <c r="I34" i="1" l="1"/>
  <c r="A13" i="1" l="1"/>
  <c r="A21" i="1" s="1"/>
  <c r="J34" i="1" l="1"/>
  <c r="J16" i="1"/>
  <c r="I13" i="1" l="1"/>
  <c r="I12" i="1" s="1"/>
  <c r="H7" i="2"/>
  <c r="F7" i="2"/>
  <c r="E7" i="2"/>
  <c r="D7" i="2"/>
  <c r="C7" i="2"/>
  <c r="B7" i="2"/>
  <c r="A7" i="2"/>
  <c r="H13" i="1"/>
  <c r="A33" i="1" l="1"/>
  <c r="B39" i="1" s="1"/>
  <c r="A39" i="1"/>
  <c r="D33" i="1"/>
  <c r="C13" i="1"/>
  <c r="C21" i="1" s="1"/>
  <c r="A37" i="1" l="1"/>
  <c r="C33" i="1"/>
  <c r="F33" i="1"/>
  <c r="E33" i="1"/>
  <c r="B33" i="1"/>
  <c r="D13" i="1"/>
  <c r="E13" i="1"/>
  <c r="F13" i="1"/>
  <c r="B13" i="1"/>
  <c r="A19" i="1" l="1"/>
  <c r="C19" i="1"/>
  <c r="C39" i="1"/>
  <c r="B37" i="1"/>
  <c r="D39" i="1"/>
  <c r="C37" i="1"/>
  <c r="B19" i="1"/>
  <c r="G7" i="2"/>
  <c r="G13" i="1"/>
  <c r="H14" i="1" s="1"/>
  <c r="G33" i="1"/>
  <c r="G15" i="1"/>
  <c r="H15" i="1" s="1"/>
  <c r="I16" i="1" s="1"/>
  <c r="G39" i="1" l="1"/>
  <c r="H39" i="1" s="1"/>
  <c r="H37" i="1"/>
  <c r="H38" i="1" s="1"/>
  <c r="J5" i="2"/>
  <c r="H40" i="1" l="1"/>
  <c r="A10" i="1"/>
  <c r="J7" i="2"/>
  <c r="H5" i="2"/>
  <c r="I5" i="2" s="1"/>
  <c r="A15" i="1"/>
  <c r="H20" i="1"/>
  <c r="B21" i="1" l="1"/>
  <c r="D21" i="1" s="1"/>
  <c r="J21" i="1" s="1"/>
  <c r="H22" i="1" s="1"/>
</calcChain>
</file>

<file path=xl/sharedStrings.xml><?xml version="1.0" encoding="utf-8"?>
<sst xmlns="http://schemas.openxmlformats.org/spreadsheetml/2006/main" count="144" uniqueCount="123">
  <si>
    <t>http://www.nrel.gov/docs/fy06osti/38238.pdf</t>
  </si>
  <si>
    <t>Age = Age of equipment in years.</t>
  </si>
  <si>
    <t>M = Maintenance Factor</t>
  </si>
  <si>
    <t>EFF = (Base EFF) * (1-M)^age</t>
  </si>
  <si>
    <t>E.</t>
  </si>
  <si>
    <t>D.</t>
  </si>
  <si>
    <t>Maintenance Factor</t>
  </si>
  <si>
    <t>Enter the estimated maintenance done on the unit. Choose one of two options.</t>
  </si>
  <si>
    <t>C.</t>
  </si>
  <si>
    <t>Electric space heater</t>
  </si>
  <si>
    <t>B.</t>
  </si>
  <si>
    <t>Electric-resistance baseboard heating</t>
  </si>
  <si>
    <t>A.</t>
  </si>
  <si>
    <t>Electric-resistance furnace or boiler, unconditioned space</t>
  </si>
  <si>
    <t>Enter this information if it can be found on the information plate.</t>
  </si>
  <si>
    <t>Electric-resistance furnace or boiler, conditioned space</t>
  </si>
  <si>
    <t>Oil steam boiler</t>
  </si>
  <si>
    <t>Oil hot water boiler, forced-draft combustion</t>
  </si>
  <si>
    <t>Oil furnace, conventional burner, no vent dampers, in conditioned space</t>
  </si>
  <si>
    <t>Oil furnace, flame-retention burner, vent dampers, in conditioned space</t>
  </si>
  <si>
    <t>Base AFUE = Typical efficiency of Pre-Retrofit equipment when new</t>
  </si>
  <si>
    <t>Direct evaporative cooling</t>
  </si>
  <si>
    <t>Gas space heater, gravity type</t>
  </si>
  <si>
    <t xml:space="preserve">AFUE = (Base AFUE) * (1-M)^age </t>
  </si>
  <si>
    <t>Room electric heat pump, louvered sides, single-speed compressor, PSC fan motor, ≥20,000 Btu/hr</t>
  </si>
  <si>
    <t>Gas space heater, fan type</t>
  </si>
  <si>
    <t>The degraded AFUE will be autocalculated using the info input throughout the form.</t>
  </si>
  <si>
    <t>Degraded AFUE/Efficiency</t>
  </si>
  <si>
    <t>Room electric heat pump, louvered sides, single-speed compressor, PSC fan motor, &lt; 20,000 Btu/hr</t>
  </si>
  <si>
    <t>Gas boiler / tankless coil combo system</t>
  </si>
  <si>
    <t>Room air conditioner, louvered sides, cooling only, single-speed compressor, PSC fan motor, (before 1981)</t>
  </si>
  <si>
    <t>Gas hot water / fan-coil combo system</t>
  </si>
  <si>
    <t>Room air conditioner, louvered sides, cooling only, single-speed compressor, PSC fan motor, (1981-1991)</t>
  </si>
  <si>
    <t>Condensing gas boiler</t>
  </si>
  <si>
    <t>Room air conditioner, louvered sides, cooling only, single-speed compressor, PSC fan motor,</t>
  </si>
  <si>
    <t>Gas steam boiler</t>
  </si>
  <si>
    <t>Gas hot water boiler, natural-draft combustion, standing pilot light</t>
  </si>
  <si>
    <t>Degradation of Heating Systems</t>
  </si>
  <si>
    <t>Packaged heat pump, singlespeed reciprocating compressor, PSC air-handler motor</t>
  </si>
  <si>
    <t>Gas furnace, natural-draft combustion, standing pilot light, no vent damper, in unconditioned space</t>
  </si>
  <si>
    <t>Packaged central air conditioner, single-speed reciprocating compressor, PSC air-handler motor</t>
  </si>
  <si>
    <t>Gas furnace, natural-draft combustion, standing pilot light, in conditioned space</t>
  </si>
  <si>
    <t>Enter the current calendar year at the time of intial assessment.</t>
  </si>
  <si>
    <t>Current Calendar Year</t>
  </si>
  <si>
    <t>Split heat pump, single-speed reciprocating compressor, PSC air-handler motor (before 1981)</t>
  </si>
  <si>
    <t>Gas furnace, natural-draft combustion, vent damper, electronic ignition, in conditioned space</t>
  </si>
  <si>
    <t>Split heat pump, single-speed reciprocating compressor, PSC air-handler motor (1981-1991)</t>
  </si>
  <si>
    <t>Gas furnace, direct-vent or forceddraft combustion, electronic ignition, in conditioned space</t>
  </si>
  <si>
    <t>Job #</t>
  </si>
  <si>
    <t>Split heat pump, single-speed reciprocating compressor, PSC air-handler motor (after 1991)</t>
  </si>
  <si>
    <t>Condensing gas furnace</t>
  </si>
  <si>
    <t>Client Name</t>
  </si>
  <si>
    <t>Base HSPF</t>
  </si>
  <si>
    <t>Base EER</t>
  </si>
  <si>
    <t>Base SEER</t>
  </si>
  <si>
    <t>Type of Air Conditioning or Heat-Pump Equipment</t>
  </si>
  <si>
    <t>Base AFUE</t>
  </si>
  <si>
    <t>Type of Heating Equipment</t>
  </si>
  <si>
    <t>Degradation Calculator Instructions</t>
  </si>
  <si>
    <t>Degraded SEER/EER</t>
  </si>
  <si>
    <t>Year of System</t>
  </si>
  <si>
    <t>Typical SEER</t>
  </si>
  <si>
    <t>Split  central  air  conditioner,  two - speed  reciprocating compressor,   electronically   commutated   air   handler motor  (ECM),  thermostatic  expansion  valve  (TXV),  fan 
coil</t>
  </si>
  <si>
    <t>Split    central    air    conditioner,    single - speed    scroll compressor, ECM air handler motor, cased coil</t>
  </si>
  <si>
    <t>Split  central  air  conditioner,  single
- speed  reciprocating compressor,  PSC  air-handler  motor,  cased  coil  (after 
1991)</t>
  </si>
  <si>
    <t>Split  central  air  conditioner,  single
-speed  reciprocating compressor,  PSC  air-handler  motor,  cased  coil  (1981
-1991)</t>
  </si>
  <si>
    <t>Split  central  air  conditioner,  single
-speed  reciprocating compressor,  PSC  air-handler  motor,  cased  coil  (before 
1981)</t>
  </si>
  <si>
    <t>Split  heat  pump,  single-speed  scroll  compressor,  ECM air handler motor, TXV valve</t>
  </si>
  <si>
    <t>Source: 
http://www.nrel.gov/docs/fy06osti/38238.pdf</t>
  </si>
  <si>
    <t>Degradation of Central Air Conditioning Systems</t>
  </si>
  <si>
    <t>Table 1</t>
  </si>
  <si>
    <t>Table 2</t>
  </si>
  <si>
    <t>Table 3</t>
  </si>
  <si>
    <t>Pre-1980</t>
  </si>
  <si>
    <t>The degraded SEER/EER will be autocalculated using the info input throughout the form.</t>
  </si>
  <si>
    <t>Verify auto-population with Table 3 to the right.</t>
  </si>
  <si>
    <t>Funding Source</t>
  </si>
  <si>
    <t xml:space="preserve">Furnace Type </t>
  </si>
  <si>
    <t>AFUE/Efficiency</t>
  </si>
  <si>
    <t>Enter the documented Manufactured Year of the existing unit.</t>
  </si>
  <si>
    <t>Select funding source(s) to be used to weatherize the unit</t>
  </si>
  <si>
    <t>Select the type furcentral furnace in the unit to be weatherized.</t>
  </si>
  <si>
    <t>c.</t>
  </si>
  <si>
    <t>Enter the AFUE of the existing furnace from combustion analyzer efficiency reading.</t>
  </si>
  <si>
    <t>Automated selection based on DOE guidelines</t>
  </si>
  <si>
    <t>F.</t>
  </si>
  <si>
    <t>G.</t>
  </si>
  <si>
    <t>H.</t>
  </si>
  <si>
    <t>I.</t>
  </si>
  <si>
    <r>
      <t>Manufactured Year</t>
    </r>
    <r>
      <rPr>
        <sz val="10"/>
        <rFont val="Calibri"/>
        <family val="2"/>
      </rPr>
      <t xml:space="preserve"> (found on name plate in the serial number)</t>
    </r>
  </si>
  <si>
    <r>
      <rPr>
        <sz val="12"/>
        <rFont val="Calibri"/>
        <family val="2"/>
        <scheme val="minor"/>
      </rPr>
      <t>Manufactured Year</t>
    </r>
    <r>
      <rPr>
        <sz val="11.5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(found on the plate or </t>
    </r>
    <r>
      <rPr>
        <i/>
        <u/>
        <sz val="10"/>
        <color rgb="FF0000FF"/>
        <rFont val="Calibri"/>
        <family val="2"/>
        <scheme val="minor"/>
      </rPr>
      <t>Building Intelligence Center</t>
    </r>
    <r>
      <rPr>
        <i/>
        <sz val="10"/>
        <rFont val="Calibri"/>
        <family val="2"/>
        <scheme val="minor"/>
      </rPr>
      <t>)</t>
    </r>
  </si>
  <si>
    <t>The Maintenance Factor will be automatically determined based on the selections above.</t>
  </si>
  <si>
    <t xml:space="preserve">Base EFF = Typical efficiency of equipment when new (SEER,
EER, or HSPF) </t>
  </si>
  <si>
    <t>Central Heating &amp; Cooling Degradation Calculator</t>
  </si>
  <si>
    <t xml:space="preserve">Cooling Equipment Type </t>
  </si>
  <si>
    <t>Conditioned space</t>
  </si>
  <si>
    <t>Unconditioned space</t>
  </si>
  <si>
    <t>H12</t>
  </si>
  <si>
    <t>AFUE/Efficiency - Gas Furnace</t>
  </si>
  <si>
    <t>A13</t>
  </si>
  <si>
    <t>B13</t>
  </si>
  <si>
    <t>C13</t>
  </si>
  <si>
    <t>D13</t>
  </si>
  <si>
    <t>E13</t>
  </si>
  <si>
    <t>F13</t>
  </si>
  <si>
    <t>G13</t>
  </si>
  <si>
    <t>H13</t>
  </si>
  <si>
    <t>J13</t>
  </si>
  <si>
    <t>I&amp;J12</t>
  </si>
  <si>
    <t>Electric Resistance Furnace (Base Efficiency)</t>
  </si>
  <si>
    <r>
      <t xml:space="preserve">Gas Unit </t>
    </r>
    <r>
      <rPr>
        <b/>
        <i/>
        <sz val="10"/>
        <color rgb="FFFF0000"/>
        <rFont val="Calibri"/>
        <family val="2"/>
        <scheme val="minor"/>
      </rPr>
      <t>(required from combustion analyzer efficiency reading)</t>
    </r>
  </si>
  <si>
    <r>
      <t xml:space="preserve">SEER/EER </t>
    </r>
    <r>
      <rPr>
        <i/>
        <sz val="12"/>
        <rFont val="Calibri"/>
        <family val="2"/>
        <scheme val="minor"/>
      </rPr>
      <t xml:space="preserve">(found on the plate) </t>
    </r>
    <r>
      <rPr>
        <b/>
        <i/>
        <sz val="12"/>
        <color rgb="FFFF0000"/>
        <rFont val="Calibri"/>
        <family val="2"/>
        <scheme val="minor"/>
      </rPr>
      <t>(if unknown leave blank)</t>
    </r>
  </si>
  <si>
    <r>
      <t xml:space="preserve">Heat Pump (Base HSPF) </t>
    </r>
    <r>
      <rPr>
        <b/>
        <i/>
        <sz val="12"/>
        <color rgb="FFFF0000"/>
        <rFont val="Calibri"/>
        <family val="2"/>
        <scheme val="minor"/>
      </rPr>
      <t>(If unknown leave blank)</t>
    </r>
  </si>
  <si>
    <t xml:space="preserve">Equipment Maintenance </t>
  </si>
  <si>
    <t xml:space="preserve">Maintenance Factor </t>
  </si>
  <si>
    <t>Select Furnace Type</t>
  </si>
  <si>
    <t>Select Funding Source</t>
  </si>
  <si>
    <t>Select Furnace Location</t>
  </si>
  <si>
    <t>Select Cooling Equipment</t>
  </si>
  <si>
    <t>Seldom or Never Maintained</t>
  </si>
  <si>
    <t>WPN-23-6</t>
  </si>
  <si>
    <t>Rev.4/3/2024</t>
  </si>
  <si>
    <t>Annual Professional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</si>
</sst>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0.0%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.5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  <font>
      <u/>
      <sz val="11.5"/>
      <color theme="10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rgb="FF9BBB59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color rgb="FF3333FF"/>
      <name val="Calibri"/>
      <family val="2"/>
      <scheme val="minor"/>
    </font>
    <font>
      <sz val="12"/>
      <color rgb="FF3333FF"/>
      <name val="Calibri"/>
      <family val="2"/>
      <scheme val="minor"/>
    </font>
    <font>
      <u/>
      <sz val="10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sz val="11.5"/>
      <color rgb="FF3333FF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4" fillId="0" borderId="0" xfId="0" applyFont="1" applyFill="1" applyBorder="1" applyAlignment="1"/>
    <xf numFmtId="0" fontId="4" fillId="0" borderId="0" xfId="0" applyFont="1"/>
    <xf numFmtId="3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9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6" fillId="0" borderId="0" xfId="0" applyFont="1"/>
    <xf numFmtId="44" fontId="6" fillId="0" borderId="0" xfId="1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9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4" fillId="0" borderId="0" xfId="0" applyFont="1" applyFill="1" applyBorder="1" applyAlignment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39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Protection="1"/>
    <xf numFmtId="0" fontId="7" fillId="2" borderId="11" xfId="0" applyFont="1" applyFill="1" applyBorder="1" applyProtection="1"/>
    <xf numFmtId="0" fontId="2" fillId="2" borderId="12" xfId="0" applyFont="1" applyFill="1" applyBorder="1" applyProtection="1"/>
    <xf numFmtId="0" fontId="17" fillId="0" borderId="0" xfId="0" applyFont="1"/>
    <xf numFmtId="0" fontId="17" fillId="0" borderId="0" xfId="0" applyFont="1" applyFill="1"/>
    <xf numFmtId="0" fontId="2" fillId="0" borderId="0" xfId="0" applyFont="1" applyAlignment="1" applyProtection="1">
      <alignment vertical="center"/>
    </xf>
    <xf numFmtId="43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left" vertical="center"/>
    </xf>
    <xf numFmtId="0" fontId="18" fillId="0" borderId="0" xfId="0" applyFont="1"/>
    <xf numFmtId="0" fontId="0" fillId="0" borderId="0" xfId="0" applyBorder="1"/>
    <xf numFmtId="0" fontId="3" fillId="0" borderId="0" xfId="2" applyFont="1" applyFill="1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6" fillId="2" borderId="5" xfId="0" applyFont="1" applyFill="1" applyBorder="1" applyAlignment="1" applyProtection="1"/>
    <xf numFmtId="0" fontId="6" fillId="2" borderId="14" xfId="0" applyFont="1" applyFill="1" applyBorder="1" applyAlignment="1" applyProtection="1"/>
    <xf numFmtId="0" fontId="6" fillId="2" borderId="6" xfId="0" applyFont="1" applyFill="1" applyBorder="1" applyAlignment="1" applyProtection="1"/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1" fontId="2" fillId="0" borderId="0" xfId="0" applyNumberFormat="1" applyFont="1"/>
    <xf numFmtId="39" fontId="7" fillId="2" borderId="26" xfId="0" applyNumberFormat="1" applyFont="1" applyFill="1" applyBorder="1" applyAlignment="1" applyProtection="1">
      <alignment horizontal="left" vertical="center"/>
    </xf>
    <xf numFmtId="39" fontId="7" fillId="2" borderId="19" xfId="0" applyNumberFormat="1" applyFont="1" applyFill="1" applyBorder="1" applyAlignment="1" applyProtection="1">
      <alignment horizontal="right" vertical="center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/>
      <protection locked="0"/>
    </xf>
    <xf numFmtId="166" fontId="7" fillId="4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7" fontId="7" fillId="2" borderId="19" xfId="0" applyNumberFormat="1" applyFont="1" applyFill="1" applyBorder="1" applyAlignment="1" applyProtection="1"/>
    <xf numFmtId="167" fontId="7" fillId="2" borderId="26" xfId="0" applyNumberFormat="1" applyFont="1" applyFill="1" applyBorder="1" applyAlignment="1" applyProtection="1"/>
    <xf numFmtId="0" fontId="21" fillId="0" borderId="4" xfId="0" applyFont="1" applyBorder="1" applyAlignment="1" applyProtection="1">
      <alignment horizontal="center"/>
    </xf>
    <xf numFmtId="0" fontId="21" fillId="0" borderId="8" xfId="0" applyFont="1" applyBorder="1" applyAlignment="1" applyProtection="1">
      <alignment horizontal="center"/>
    </xf>
    <xf numFmtId="0" fontId="21" fillId="0" borderId="0" xfId="0" applyFont="1" applyBorder="1" applyProtection="1"/>
    <xf numFmtId="0" fontId="22" fillId="0" borderId="0" xfId="0" applyFont="1" applyFill="1" applyBorder="1" applyAlignment="1">
      <alignment horizontal="center"/>
    </xf>
    <xf numFmtId="0" fontId="21" fillId="0" borderId="0" xfId="0" applyFont="1"/>
    <xf numFmtId="0" fontId="23" fillId="0" borderId="0" xfId="2" applyFont="1" applyAlignment="1" applyProtection="1"/>
    <xf numFmtId="0" fontId="21" fillId="0" borderId="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167" fontId="21" fillId="0" borderId="0" xfId="0" applyNumberFormat="1" applyFont="1" applyBorder="1" applyAlignment="1" applyProtection="1">
      <alignment horizontal="center"/>
    </xf>
    <xf numFmtId="0" fontId="21" fillId="0" borderId="0" xfId="0" applyFont="1" applyFill="1"/>
    <xf numFmtId="0" fontId="22" fillId="0" borderId="1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2" fontId="21" fillId="0" borderId="1" xfId="0" applyNumberFormat="1" applyFont="1" applyBorder="1" applyAlignment="1" applyProtection="1">
      <alignment horizontal="left" vertical="center"/>
    </xf>
    <xf numFmtId="2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center" vertical="center"/>
    </xf>
    <xf numFmtId="166" fontId="7" fillId="0" borderId="25" xfId="0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Fill="1" applyBorder="1" applyAlignment="1" applyProtection="1"/>
    <xf numFmtId="167" fontId="7" fillId="0" borderId="7" xfId="0" applyNumberFormat="1" applyFont="1" applyFill="1" applyBorder="1" applyAlignment="1" applyProtection="1"/>
    <xf numFmtId="0" fontId="25" fillId="0" borderId="1" xfId="2" applyFont="1" applyFill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21" fillId="0" borderId="7" xfId="0" applyFont="1" applyFill="1" applyBorder="1" applyProtection="1"/>
    <xf numFmtId="0" fontId="22" fillId="0" borderId="9" xfId="0" applyFont="1" applyFill="1" applyBorder="1" applyAlignment="1" applyProtection="1">
      <alignment horizontal="left"/>
    </xf>
    <xf numFmtId="0" fontId="22" fillId="0" borderId="10" xfId="0" applyFont="1" applyFill="1" applyBorder="1" applyAlignment="1" applyProtection="1">
      <alignment horizontal="left"/>
    </xf>
    <xf numFmtId="0" fontId="22" fillId="0" borderId="10" xfId="0" applyFont="1" applyFill="1" applyBorder="1" applyAlignment="1" applyProtection="1">
      <alignment horizontal="center"/>
    </xf>
    <xf numFmtId="0" fontId="21" fillId="0" borderId="0" xfId="0" applyFont="1" applyFill="1" applyAlignment="1">
      <alignment horizontal="center"/>
    </xf>
    <xf numFmtId="0" fontId="22" fillId="0" borderId="15" xfId="0" applyFont="1" applyFill="1" applyBorder="1" applyAlignment="1" applyProtection="1">
      <alignment horizontal="left"/>
    </xf>
    <xf numFmtId="0" fontId="22" fillId="0" borderId="13" xfId="0" applyFont="1" applyFill="1" applyBorder="1" applyAlignment="1" applyProtection="1">
      <alignment horizontal="left"/>
    </xf>
    <xf numFmtId="0" fontId="21" fillId="0" borderId="7" xfId="0" applyFont="1" applyFill="1" applyBorder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/>
    <xf numFmtId="0" fontId="21" fillId="0" borderId="2" xfId="0" applyFont="1" applyFill="1" applyBorder="1" applyAlignment="1">
      <alignment horizontal="center"/>
    </xf>
    <xf numFmtId="1" fontId="22" fillId="0" borderId="15" xfId="0" applyNumberFormat="1" applyFont="1" applyFill="1" applyBorder="1" applyAlignment="1" applyProtection="1">
      <alignment horizontal="left"/>
    </xf>
    <xf numFmtId="2" fontId="22" fillId="0" borderId="13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2" fillId="5" borderId="13" xfId="0" applyFont="1" applyFill="1" applyBorder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/>
    </xf>
    <xf numFmtId="0" fontId="22" fillId="6" borderId="13" xfId="0" applyFont="1" applyFill="1" applyBorder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27" fillId="0" borderId="0" xfId="2" applyFont="1" applyFill="1" applyAlignment="1" applyProtection="1">
      <alignment vertical="center"/>
    </xf>
    <xf numFmtId="0" fontId="2" fillId="0" borderId="14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0" xfId="0" applyFont="1" applyFill="1" applyBorder="1" applyAlignment="1"/>
    <xf numFmtId="0" fontId="7" fillId="2" borderId="4" xfId="0" applyFont="1" applyFill="1" applyBorder="1" applyAlignment="1" applyProtection="1"/>
    <xf numFmtId="0" fontId="7" fillId="2" borderId="8" xfId="0" applyFont="1" applyFill="1" applyBorder="1" applyAlignment="1" applyProtection="1"/>
    <xf numFmtId="0" fontId="0" fillId="0" borderId="14" xfId="0" applyFont="1" applyBorder="1" applyAlignment="1"/>
    <xf numFmtId="0" fontId="0" fillId="0" borderId="0" xfId="0" applyFont="1" applyAlignment="1"/>
    <xf numFmtId="0" fontId="2" fillId="0" borderId="14" xfId="0" applyFont="1" applyBorder="1" applyAlignment="1" applyProtection="1"/>
    <xf numFmtId="0" fontId="2" fillId="0" borderId="0" xfId="0" applyFont="1" applyAlignment="1" applyProtection="1"/>
    <xf numFmtId="9" fontId="29" fillId="0" borderId="15" xfId="0" applyNumberFormat="1" applyFont="1" applyFill="1" applyBorder="1" applyAlignment="1" applyProtection="1">
      <alignment horizontal="left" vertical="center"/>
    </xf>
    <xf numFmtId="9" fontId="29" fillId="0" borderId="13" xfId="0" applyNumberFormat="1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left" vertical="center"/>
    </xf>
    <xf numFmtId="0" fontId="29" fillId="6" borderId="13" xfId="0" applyFont="1" applyFill="1" applyBorder="1" applyAlignment="1" applyProtection="1">
      <alignment horizontal="left" vertical="center"/>
    </xf>
    <xf numFmtId="167" fontId="29" fillId="0" borderId="13" xfId="0" applyNumberFormat="1" applyFont="1" applyFill="1" applyBorder="1" applyAlignment="1" applyProtection="1">
      <alignment horizontal="center" vertical="center"/>
    </xf>
    <xf numFmtId="2" fontId="29" fillId="0" borderId="13" xfId="0" applyNumberFormat="1" applyFont="1" applyFill="1" applyBorder="1" applyAlignment="1" applyProtection="1">
      <alignment horizontal="center" vertical="center"/>
    </xf>
    <xf numFmtId="167" fontId="30" fillId="0" borderId="0" xfId="0" applyNumberFormat="1" applyFont="1" applyBorder="1" applyAlignment="1">
      <alignment horizontal="center" vertical="center" wrapText="1"/>
    </xf>
    <xf numFmtId="165" fontId="29" fillId="0" borderId="0" xfId="0" applyNumberFormat="1" applyFont="1" applyFill="1" applyBorder="1" applyAlignment="1" applyProtection="1">
      <alignment horizontal="left" vertical="center"/>
    </xf>
    <xf numFmtId="165" fontId="29" fillId="0" borderId="7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/>
    </xf>
    <xf numFmtId="164" fontId="7" fillId="4" borderId="2" xfId="0" applyNumberFormat="1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Protection="1"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165" fontId="7" fillId="2" borderId="19" xfId="0" applyNumberFormat="1" applyFont="1" applyFill="1" applyBorder="1" applyAlignment="1" applyProtection="1">
      <alignment horizontal="center" vertical="center"/>
    </xf>
    <xf numFmtId="165" fontId="7" fillId="2" borderId="20" xfId="0" applyNumberFormat="1" applyFont="1" applyFill="1" applyBorder="1" applyAlignment="1" applyProtection="1">
      <alignment horizontal="center" vertical="center"/>
    </xf>
    <xf numFmtId="165" fontId="7" fillId="2" borderId="26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/>
    </xf>
    <xf numFmtId="0" fontId="0" fillId="0" borderId="14" xfId="0" applyBorder="1" applyProtection="1"/>
    <xf numFmtId="0" fontId="0" fillId="0" borderId="6" xfId="0" applyBorder="1" applyProtection="1"/>
    <xf numFmtId="0" fontId="7" fillId="2" borderId="5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39" fontId="26" fillId="2" borderId="28" xfId="0" applyNumberFormat="1" applyFont="1" applyFill="1" applyBorder="1" applyAlignment="1" applyProtection="1">
      <alignment horizontal="center"/>
    </xf>
    <xf numFmtId="39" fontId="26" fillId="2" borderId="29" xfId="0" applyNumberFormat="1" applyFont="1" applyFill="1" applyBorder="1" applyAlignment="1" applyProtection="1">
      <alignment horizontal="center"/>
    </xf>
    <xf numFmtId="39" fontId="26" fillId="2" borderId="30" xfId="0" applyNumberFormat="1" applyFont="1" applyFill="1" applyBorder="1" applyAlignment="1" applyProtection="1">
      <alignment horizontal="center"/>
    </xf>
    <xf numFmtId="0" fontId="14" fillId="2" borderId="9" xfId="2" applyFont="1" applyFill="1" applyBorder="1" applyAlignment="1" applyProtection="1">
      <alignment horizontal="left" vertical="center"/>
    </xf>
    <xf numFmtId="0" fontId="14" fillId="2" borderId="10" xfId="2" applyFont="1" applyFill="1" applyBorder="1" applyAlignment="1" applyProtection="1">
      <alignment horizontal="left" vertical="center"/>
    </xf>
    <xf numFmtId="44" fontId="10" fillId="2" borderId="4" xfId="1" applyFont="1" applyFill="1" applyBorder="1" applyAlignment="1" applyProtection="1">
      <alignment horizontal="center" vertical="center"/>
    </xf>
    <xf numFmtId="44" fontId="10" fillId="2" borderId="8" xfId="1" applyFont="1" applyFill="1" applyBorder="1" applyAlignment="1" applyProtection="1">
      <alignment horizontal="center" vertical="center"/>
    </xf>
    <xf numFmtId="44" fontId="10" fillId="2" borderId="3" xfId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2" borderId="27" xfId="0" applyFont="1" applyFill="1" applyBorder="1" applyAlignment="1" applyProtection="1">
      <alignment horizontal="left"/>
    </xf>
    <xf numFmtId="0" fontId="7" fillId="2" borderId="20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21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</xf>
    <xf numFmtId="165" fontId="28" fillId="2" borderId="4" xfId="0" applyNumberFormat="1" applyFont="1" applyFill="1" applyBorder="1" applyAlignment="1" applyProtection="1">
      <alignment horizontal="center"/>
    </xf>
    <xf numFmtId="165" fontId="28" fillId="2" borderId="8" xfId="0" applyNumberFormat="1" applyFont="1" applyFill="1" applyBorder="1" applyAlignment="1" applyProtection="1">
      <alignment horizontal="center"/>
    </xf>
    <xf numFmtId="165" fontId="28" fillId="2" borderId="3" xfId="0" applyNumberFormat="1" applyFont="1" applyFill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7" fillId="4" borderId="22" xfId="0" applyFont="1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center"/>
      <protection locked="0"/>
    </xf>
    <xf numFmtId="164" fontId="7" fillId="4" borderId="18" xfId="0" applyNumberFormat="1" applyFont="1" applyFill="1" applyBorder="1" applyAlignment="1" applyProtection="1">
      <alignment horizontal="center"/>
      <protection locked="0"/>
    </xf>
    <xf numFmtId="9" fontId="7" fillId="2" borderId="2" xfId="0" applyNumberFormat="1" applyFont="1" applyFill="1" applyBorder="1" applyAlignment="1" applyProtection="1">
      <alignment horizontal="center"/>
    </xf>
    <xf numFmtId="9" fontId="7" fillId="2" borderId="18" xfId="0" applyNumberFormat="1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166" fontId="7" fillId="2" borderId="2" xfId="0" applyNumberFormat="1" applyFont="1" applyFill="1" applyBorder="1" applyAlignment="1" applyProtection="1">
      <alignment horizontal="center" wrapText="1"/>
    </xf>
    <xf numFmtId="166" fontId="7" fillId="2" borderId="18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center"/>
    </xf>
    <xf numFmtId="167" fontId="2" fillId="0" borderId="7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9" fontId="7" fillId="2" borderId="2" xfId="0" applyNumberFormat="1" applyFont="1" applyFill="1" applyBorder="1" applyAlignment="1" applyProtection="1">
      <alignment horizontal="center" vertical="center"/>
    </xf>
    <xf numFmtId="9" fontId="7" fillId="2" borderId="18" xfId="0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  <color rgb="FFFF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ilding-center.org/" TargetMode="External"/><Relationship Id="rId2" Type="http://schemas.openxmlformats.org/officeDocument/2006/relationships/hyperlink" Target="http://www.nrel.gov/docs/fy06osti/38238.pdf" TargetMode="External"/><Relationship Id="rId1" Type="http://schemas.openxmlformats.org/officeDocument/2006/relationships/hyperlink" Target="http://www.nrel.gov/docs/fy06osti/3823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ergy.gov/scep/wap/articles/weatherization-program-notice-23-6-revised-energy-audit-approval-proced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65"/>
  <sheetViews>
    <sheetView tabSelected="1" zoomScaleNormal="100" workbookViewId="0">
      <selection activeCell="C3" sqref="C3:G3"/>
    </sheetView>
  </sheetViews>
  <sheetFormatPr defaultColWidth="2.109375" defaultRowHeight="16.5" customHeight="1" x14ac:dyDescent="0.3"/>
  <cols>
    <col min="1" max="6" width="9.109375" style="29" customWidth="1"/>
    <col min="7" max="7" width="9.33203125" style="1" bestFit="1" customWidth="1"/>
    <col min="8" max="8" width="18.33203125" style="1" customWidth="1"/>
    <col min="9" max="9" width="18.33203125" style="34" customWidth="1"/>
    <col min="10" max="10" width="18.33203125" style="1" customWidth="1"/>
    <col min="11" max="11" width="5.6640625" style="1" customWidth="1"/>
    <col min="12" max="12" width="4.6640625" style="1" customWidth="1"/>
    <col min="13" max="20" width="9.109375" style="1" customWidth="1"/>
    <col min="21" max="21" width="18.6640625" style="1" customWidth="1"/>
    <col min="22" max="22" width="81.88671875" style="1" hidden="1" customWidth="1"/>
    <col min="23" max="23" width="8.6640625" style="2" hidden="1" customWidth="1"/>
    <col min="24" max="24" width="3.6640625" style="2" hidden="1" customWidth="1"/>
    <col min="25" max="25" width="133.88671875" style="2" hidden="1" customWidth="1"/>
    <col min="26" max="28" width="8.6640625" style="2" hidden="1" customWidth="1"/>
    <col min="29" max="29" width="3.6640625" style="2" hidden="1" customWidth="1"/>
    <col min="30" max="30" width="12.33203125" style="1" hidden="1" customWidth="1"/>
    <col min="31" max="31" width="10.6640625" style="1" hidden="1" customWidth="1"/>
    <col min="32" max="32" width="9.109375" style="1" hidden="1" customWidth="1"/>
    <col min="33" max="252" width="9.109375" style="1" customWidth="1"/>
    <col min="253" max="253" width="32.88671875" style="1" customWidth="1"/>
    <col min="254" max="254" width="12.88671875" style="1" customWidth="1"/>
    <col min="255" max="255" width="9.33203125" style="1" bestFit="1" customWidth="1"/>
    <col min="256" max="256" width="12.88671875" style="1" customWidth="1"/>
    <col min="257" max="257" width="17.33203125" style="1" customWidth="1"/>
    <col min="258" max="16384" width="2.109375" style="1"/>
  </cols>
  <sheetData>
    <row r="1" spans="1:34" ht="16.5" customHeight="1" thickBot="1" x14ac:dyDescent="0.3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5"/>
      <c r="K1" s="22"/>
      <c r="L1" s="21" t="s">
        <v>58</v>
      </c>
      <c r="V1" s="26" t="s">
        <v>70</v>
      </c>
      <c r="Y1" s="26" t="s">
        <v>71</v>
      </c>
      <c r="AD1" s="26" t="s">
        <v>72</v>
      </c>
    </row>
    <row r="2" spans="1:34" ht="15.6" customHeight="1" x14ac:dyDescent="0.3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8"/>
      <c r="V2" s="11" t="s">
        <v>57</v>
      </c>
      <c r="W2" s="10" t="s">
        <v>56</v>
      </c>
      <c r="X2" s="25"/>
      <c r="Y2" s="20" t="s">
        <v>55</v>
      </c>
      <c r="Z2" s="19" t="s">
        <v>54</v>
      </c>
      <c r="AA2" s="19" t="s">
        <v>53</v>
      </c>
      <c r="AB2" s="27" t="s">
        <v>52</v>
      </c>
      <c r="AD2" s="19" t="s">
        <v>60</v>
      </c>
      <c r="AE2" s="19" t="s">
        <v>61</v>
      </c>
      <c r="AG2" s="28"/>
      <c r="AH2" s="28"/>
    </row>
    <row r="3" spans="1:34" ht="15.6" customHeight="1" x14ac:dyDescent="0.3">
      <c r="A3" s="196" t="s">
        <v>51</v>
      </c>
      <c r="B3" s="196"/>
      <c r="C3" s="197"/>
      <c r="D3" s="197"/>
      <c r="E3" s="197"/>
      <c r="F3" s="197"/>
      <c r="G3" s="197"/>
      <c r="H3" s="196" t="s">
        <v>43</v>
      </c>
      <c r="I3" s="196"/>
      <c r="J3" s="83"/>
      <c r="K3" s="8"/>
      <c r="L3" s="6" t="s">
        <v>42</v>
      </c>
      <c r="V3" s="11" t="s">
        <v>50</v>
      </c>
      <c r="W3" s="10">
        <v>90</v>
      </c>
      <c r="X3" s="25"/>
      <c r="Y3" s="23" t="s">
        <v>62</v>
      </c>
      <c r="Z3" s="10">
        <v>14</v>
      </c>
      <c r="AA3" s="10">
        <v>10.5</v>
      </c>
      <c r="AB3" s="10"/>
      <c r="AD3" s="10" t="s">
        <v>73</v>
      </c>
      <c r="AE3" s="10">
        <v>6.5</v>
      </c>
    </row>
    <row r="4" spans="1:34" ht="15.6" customHeight="1" x14ac:dyDescent="0.3">
      <c r="A4" s="196" t="s">
        <v>48</v>
      </c>
      <c r="B4" s="196"/>
      <c r="C4" s="197"/>
      <c r="D4" s="197"/>
      <c r="E4" s="197"/>
      <c r="F4" s="197"/>
      <c r="G4" s="197"/>
      <c r="H4" s="199"/>
      <c r="I4" s="200"/>
      <c r="J4" s="200"/>
      <c r="K4" s="17"/>
      <c r="M4" s="60" t="s">
        <v>95</v>
      </c>
      <c r="V4" s="11" t="s">
        <v>47</v>
      </c>
      <c r="W4" s="10">
        <v>80</v>
      </c>
      <c r="X4" s="25"/>
      <c r="Y4" s="23" t="s">
        <v>63</v>
      </c>
      <c r="Z4" s="10">
        <v>12</v>
      </c>
      <c r="AA4" s="10">
        <v>10.8</v>
      </c>
      <c r="AB4" s="10"/>
      <c r="AD4" s="10">
        <v>1980</v>
      </c>
      <c r="AE4" s="10">
        <v>6.5</v>
      </c>
    </row>
    <row r="5" spans="1:34" ht="16.5" customHeight="1" thickBot="1" x14ac:dyDescent="0.3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16"/>
      <c r="M5" s="60" t="s">
        <v>96</v>
      </c>
      <c r="V5" s="11" t="s">
        <v>45</v>
      </c>
      <c r="W5" s="10">
        <v>78</v>
      </c>
      <c r="X5" s="25"/>
      <c r="Y5" s="23" t="s">
        <v>64</v>
      </c>
      <c r="Z5" s="10">
        <v>10</v>
      </c>
      <c r="AA5" s="10">
        <v>9.3000000000000007</v>
      </c>
      <c r="AB5" s="10"/>
      <c r="AD5" s="10">
        <v>1981</v>
      </c>
      <c r="AE5" s="10">
        <v>8</v>
      </c>
    </row>
    <row r="6" spans="1:34" ht="16.5" customHeight="1" thickBot="1" x14ac:dyDescent="0.35">
      <c r="A6" s="203" t="s">
        <v>37</v>
      </c>
      <c r="B6" s="204"/>
      <c r="C6" s="204"/>
      <c r="D6" s="204"/>
      <c r="E6" s="204"/>
      <c r="F6" s="204"/>
      <c r="G6" s="205"/>
      <c r="H6" s="184" t="s">
        <v>117</v>
      </c>
      <c r="I6" s="184"/>
      <c r="J6" s="185"/>
      <c r="K6" s="3"/>
      <c r="L6" s="5" t="s">
        <v>14</v>
      </c>
      <c r="V6" s="11" t="s">
        <v>41</v>
      </c>
      <c r="W6" s="10">
        <v>75</v>
      </c>
      <c r="X6" s="25"/>
      <c r="Y6" s="23" t="s">
        <v>65</v>
      </c>
      <c r="Z6" s="10">
        <v>8</v>
      </c>
      <c r="AA6" s="10">
        <v>7.7</v>
      </c>
      <c r="AB6" s="10"/>
      <c r="AD6" s="10">
        <v>1982</v>
      </c>
      <c r="AE6" s="10">
        <v>8</v>
      </c>
    </row>
    <row r="7" spans="1:34" ht="16.5" customHeight="1" x14ac:dyDescent="0.3">
      <c r="A7" s="182" t="s">
        <v>76</v>
      </c>
      <c r="B7" s="183"/>
      <c r="C7" s="183"/>
      <c r="D7" s="183"/>
      <c r="E7" s="183"/>
      <c r="F7" s="183"/>
      <c r="G7" s="183"/>
      <c r="H7" s="212" t="s">
        <v>116</v>
      </c>
      <c r="I7" s="212"/>
      <c r="J7" s="213"/>
      <c r="K7" s="14"/>
      <c r="L7" s="52" t="s">
        <v>12</v>
      </c>
      <c r="M7" s="51" t="s">
        <v>80</v>
      </c>
      <c r="V7" s="11" t="s">
        <v>39</v>
      </c>
      <c r="W7" s="10">
        <v>64</v>
      </c>
      <c r="X7" s="25"/>
      <c r="Y7" s="23" t="s">
        <v>66</v>
      </c>
      <c r="Z7" s="10">
        <v>6.5</v>
      </c>
      <c r="AA7" s="10">
        <v>6.4</v>
      </c>
      <c r="AB7" s="10"/>
      <c r="AD7" s="10">
        <v>1983</v>
      </c>
      <c r="AE7" s="10">
        <v>8</v>
      </c>
    </row>
    <row r="8" spans="1:34" ht="16.5" customHeight="1" x14ac:dyDescent="0.3">
      <c r="A8" s="186" t="s">
        <v>77</v>
      </c>
      <c r="B8" s="187"/>
      <c r="C8" s="187"/>
      <c r="D8" s="187"/>
      <c r="E8" s="187"/>
      <c r="F8" s="187"/>
      <c r="G8" s="187"/>
      <c r="H8" s="174" t="s">
        <v>115</v>
      </c>
      <c r="I8" s="174"/>
      <c r="J8" s="175"/>
      <c r="K8" s="13"/>
      <c r="L8" s="52" t="s">
        <v>10</v>
      </c>
      <c r="M8" s="51" t="s">
        <v>81</v>
      </c>
      <c r="V8" s="11" t="s">
        <v>36</v>
      </c>
      <c r="W8" s="10">
        <v>80</v>
      </c>
      <c r="X8" s="25"/>
      <c r="Y8" s="23" t="s">
        <v>67</v>
      </c>
      <c r="Z8" s="10">
        <v>14</v>
      </c>
      <c r="AA8" s="10">
        <v>10.5</v>
      </c>
      <c r="AB8" s="10">
        <v>8</v>
      </c>
      <c r="AD8" s="10">
        <v>1984</v>
      </c>
      <c r="AE8" s="10">
        <v>8</v>
      </c>
    </row>
    <row r="9" spans="1:34" ht="16.5" customHeight="1" thickBot="1" x14ac:dyDescent="0.35">
      <c r="A9" s="217" t="s">
        <v>89</v>
      </c>
      <c r="B9" s="218"/>
      <c r="C9" s="218"/>
      <c r="D9" s="218"/>
      <c r="E9" s="218"/>
      <c r="F9" s="218"/>
      <c r="G9" s="218"/>
      <c r="H9" s="172"/>
      <c r="I9" s="172"/>
      <c r="J9" s="214"/>
      <c r="K9" s="12"/>
      <c r="L9" s="32" t="s">
        <v>82</v>
      </c>
      <c r="M9" s="51" t="s">
        <v>79</v>
      </c>
      <c r="V9" s="11" t="s">
        <v>35</v>
      </c>
      <c r="W9" s="10">
        <v>81</v>
      </c>
      <c r="X9" s="25"/>
      <c r="Y9" s="23" t="s">
        <v>49</v>
      </c>
      <c r="Z9" s="15">
        <v>10</v>
      </c>
      <c r="AA9" s="15">
        <v>9.3000000000000007</v>
      </c>
      <c r="AB9" s="15">
        <v>7.1</v>
      </c>
      <c r="AD9" s="10">
        <v>1985</v>
      </c>
      <c r="AE9" s="10">
        <v>8</v>
      </c>
    </row>
    <row r="10" spans="1:34" s="95" customFormat="1" ht="16.5" customHeight="1" thickBot="1" x14ac:dyDescent="0.35">
      <c r="A10" s="91" t="str">
        <f>IF(AND(I13&gt;1%,A13=TRUE,C13=TRUE),I13,IF(AND(I13&gt;1%,B13=TRUE,C13=TRUE),I13,IF(AND(I13&lt;=0,A13=TRUE,C13=TRUE),"EFFICIENCY ERROR",IF(AND(I13&lt;=0,B13=TRUE,C13=TRUE),"EFFICIENCY ERROR",IF(AND(J3&gt;1,H9&gt;1,B13=FALSE),"N/A","")))))</f>
        <v/>
      </c>
      <c r="B10" s="92"/>
      <c r="C10" s="92"/>
      <c r="D10" s="92"/>
      <c r="E10" s="92"/>
      <c r="F10" s="92"/>
      <c r="G10" s="92"/>
      <c r="H10" s="116"/>
      <c r="I10" s="116"/>
      <c r="J10" s="116"/>
      <c r="K10" s="94"/>
      <c r="T10" s="96"/>
    </row>
    <row r="11" spans="1:34" s="34" customFormat="1" ht="16.5" customHeight="1" x14ac:dyDescent="0.3">
      <c r="A11" s="69" t="s">
        <v>78</v>
      </c>
      <c r="B11" s="70"/>
      <c r="C11" s="70"/>
      <c r="D11" s="70"/>
      <c r="E11" s="70"/>
      <c r="F11" s="70"/>
      <c r="G11" s="70"/>
      <c r="H11" s="70"/>
      <c r="I11" s="70"/>
      <c r="J11" s="71"/>
      <c r="K11" s="40"/>
      <c r="L11" s="52"/>
      <c r="M11" s="51"/>
      <c r="V11" s="49" t="s">
        <v>33</v>
      </c>
      <c r="W11" s="41">
        <v>90</v>
      </c>
      <c r="X11" s="44"/>
      <c r="Y11" s="48" t="s">
        <v>46</v>
      </c>
      <c r="Z11" s="47">
        <v>8</v>
      </c>
      <c r="AA11" s="47">
        <v>7.7</v>
      </c>
      <c r="AB11" s="47">
        <v>6.6</v>
      </c>
      <c r="AC11" s="35"/>
      <c r="AD11" s="41">
        <v>1986</v>
      </c>
      <c r="AE11" s="41">
        <v>8</v>
      </c>
    </row>
    <row r="12" spans="1:34" s="34" customFormat="1" ht="16.5" customHeight="1" x14ac:dyDescent="0.3">
      <c r="A12" s="206" t="s">
        <v>110</v>
      </c>
      <c r="B12" s="207"/>
      <c r="C12" s="207"/>
      <c r="D12" s="207"/>
      <c r="E12" s="207"/>
      <c r="F12" s="207"/>
      <c r="G12" s="207"/>
      <c r="H12" s="86"/>
      <c r="I12" s="219" t="str">
        <f>IF(H9&gt;1,I13,"")</f>
        <v/>
      </c>
      <c r="J12" s="220"/>
      <c r="K12" s="45"/>
      <c r="L12" s="32" t="s">
        <v>5</v>
      </c>
      <c r="M12" s="61" t="s">
        <v>83</v>
      </c>
      <c r="V12" s="49" t="s">
        <v>31</v>
      </c>
      <c r="W12" s="41">
        <v>80</v>
      </c>
      <c r="X12" s="44"/>
      <c r="Y12" s="48" t="s">
        <v>44</v>
      </c>
      <c r="Z12" s="47">
        <v>6.5</v>
      </c>
      <c r="AA12" s="47">
        <v>6.4</v>
      </c>
      <c r="AB12" s="47">
        <v>6</v>
      </c>
      <c r="AC12" s="35"/>
      <c r="AD12" s="41">
        <v>1987</v>
      </c>
      <c r="AE12" s="41">
        <v>8</v>
      </c>
    </row>
    <row r="13" spans="1:34" s="100" customFormat="1" ht="16.5" hidden="1" customHeight="1" x14ac:dyDescent="0.3">
      <c r="A13" s="97" t="str">
        <f>IF(H7="DOE","TRUE","FALSE")</f>
        <v>FALSE</v>
      </c>
      <c r="B13" s="98" t="str">
        <f>IF(H7="LIHEAP","TRUE","FALSE")</f>
        <v>FALSE</v>
      </c>
      <c r="C13" s="98" t="str">
        <f>IF(H7="DOE &amp; LIHEAP","TRUE","FALSE")</f>
        <v>FALSE</v>
      </c>
      <c r="D13" s="98" t="str">
        <f>IF(H8="Gas Furnace","TRUE","FALSE")</f>
        <v>FALSE</v>
      </c>
      <c r="E13" s="98" t="str">
        <f>IF(H8="Electric Resistance Furnace","TRUE","FALSE")</f>
        <v>FALSE</v>
      </c>
      <c r="F13" s="98" t="str">
        <f>IF(H8="Heat Pump","TRUE","FALSE")</f>
        <v>FALSE</v>
      </c>
      <c r="G13" s="98" t="str">
        <f>IF(D13="TRUE","N/A",IF(E13="TRUE",1,IF(F13="TRUE","N/A","")))</f>
        <v/>
      </c>
      <c r="H13" s="117" t="b">
        <f>IF(H6="Conditioned Space","Conditioned",IF(H6="Unconditioned Space","Unconditioned",FALSE))</f>
        <v>0</v>
      </c>
      <c r="I13" s="118" t="str">
        <f>IF(H8="Gas Furnace","Requires combustion analyzer reading",IF(H8="Electric Resistance Furnace","N/A",IF(H8="Heat Pump","N/A","")))</f>
        <v/>
      </c>
      <c r="J13" s="119"/>
      <c r="K13" s="99"/>
    </row>
    <row r="14" spans="1:34" s="24" customFormat="1" ht="16.5" customHeight="1" x14ac:dyDescent="0.3">
      <c r="A14" s="186" t="s">
        <v>109</v>
      </c>
      <c r="B14" s="187"/>
      <c r="C14" s="187"/>
      <c r="D14" s="187"/>
      <c r="E14" s="187"/>
      <c r="F14" s="187"/>
      <c r="G14" s="187"/>
      <c r="H14" s="215" t="str">
        <f>G13</f>
        <v/>
      </c>
      <c r="I14" s="215"/>
      <c r="J14" s="216"/>
      <c r="K14" s="31"/>
      <c r="L14" s="52" t="s">
        <v>4</v>
      </c>
      <c r="M14" s="51" t="s">
        <v>84</v>
      </c>
      <c r="V14" s="49" t="s">
        <v>29</v>
      </c>
      <c r="W14" s="41">
        <v>80</v>
      </c>
      <c r="X14" s="44"/>
      <c r="Y14" s="48" t="s">
        <v>40</v>
      </c>
      <c r="Z14" s="47">
        <v>10</v>
      </c>
      <c r="AA14" s="47">
        <v>9.1</v>
      </c>
      <c r="AB14" s="41"/>
      <c r="AC14" s="35"/>
      <c r="AD14" s="41">
        <v>1988</v>
      </c>
      <c r="AE14" s="41">
        <v>8</v>
      </c>
    </row>
    <row r="15" spans="1:34" s="95" customFormat="1" ht="16.5" hidden="1" customHeight="1" x14ac:dyDescent="0.3">
      <c r="A15" s="101" t="str">
        <f>IF(H8="Gas Furnace",H12,IF(H8="Electric Resistance Furnace","N/A",IF(H8="Heat Pump","N/A","")))</f>
        <v/>
      </c>
      <c r="B15" s="114"/>
      <c r="C15" s="93"/>
      <c r="D15" s="93"/>
      <c r="E15" s="93"/>
      <c r="F15" s="93"/>
      <c r="G15" s="102" t="str">
        <f>IF(D13="TRUE","N/A",IF(E13="TRUE","N/A",IF(F13="TRUE",8,"")))</f>
        <v/>
      </c>
      <c r="H15" s="221" t="str">
        <f>IF(AND(H8="Gas Furnace",H9&gt;1),"N/A",IF(AND(H9&gt;1,H8="Electric Resistance Furnace"),"N/A",IF(AND(H16&gt;1,H8="Heat Pump"),H16,IF(AND(H8="Heat Pump",H16&lt;1),G15,""))))</f>
        <v/>
      </c>
      <c r="I15" s="221"/>
      <c r="J15" s="222"/>
      <c r="K15" s="103"/>
    </row>
    <row r="16" spans="1:34" s="57" customFormat="1" ht="16.5" customHeight="1" x14ac:dyDescent="0.3">
      <c r="A16" s="206" t="s">
        <v>112</v>
      </c>
      <c r="B16" s="207"/>
      <c r="C16" s="207"/>
      <c r="D16" s="207"/>
      <c r="E16" s="207"/>
      <c r="F16" s="207"/>
      <c r="G16" s="207"/>
      <c r="H16" s="84"/>
      <c r="I16" s="89" t="str">
        <f>H15</f>
        <v/>
      </c>
      <c r="J16" s="90" t="str">
        <f>IF(H8="Heat Pump","HSPF","")</f>
        <v/>
      </c>
      <c r="K16" s="58"/>
      <c r="L16" s="52" t="s">
        <v>85</v>
      </c>
      <c r="M16" s="51" t="s">
        <v>84</v>
      </c>
      <c r="V16" s="72" t="s">
        <v>25</v>
      </c>
      <c r="W16" s="73">
        <v>73</v>
      </c>
      <c r="X16" s="44"/>
      <c r="Y16" s="74" t="s">
        <v>38</v>
      </c>
      <c r="Z16" s="75">
        <v>10</v>
      </c>
      <c r="AA16" s="75">
        <v>9.1</v>
      </c>
      <c r="AB16" s="75">
        <v>6.8</v>
      </c>
      <c r="AC16" s="35"/>
      <c r="AD16" s="73">
        <v>1989</v>
      </c>
      <c r="AE16" s="73">
        <v>8</v>
      </c>
    </row>
    <row r="17" spans="1:31" s="106" customFormat="1" ht="16.5" hidden="1" customHeight="1" x14ac:dyDescent="0.3">
      <c r="A17" s="104"/>
      <c r="B17" s="105"/>
      <c r="C17" s="105"/>
      <c r="D17" s="105"/>
      <c r="E17" s="105"/>
      <c r="F17" s="105"/>
      <c r="G17" s="105"/>
      <c r="H17" s="120"/>
      <c r="I17" s="121"/>
      <c r="J17" s="122"/>
      <c r="L17" s="107"/>
      <c r="M17" s="108"/>
      <c r="W17" s="109"/>
      <c r="X17" s="109"/>
      <c r="Y17" s="110"/>
      <c r="Z17" s="109"/>
      <c r="AA17" s="109"/>
      <c r="AB17" s="109"/>
      <c r="AC17" s="109"/>
      <c r="AD17" s="109"/>
      <c r="AE17" s="109"/>
    </row>
    <row r="18" spans="1:31" s="34" customFormat="1" ht="16.5" customHeight="1" x14ac:dyDescent="0.3">
      <c r="A18" s="201" t="s">
        <v>113</v>
      </c>
      <c r="B18" s="202"/>
      <c r="C18" s="202"/>
      <c r="D18" s="202"/>
      <c r="E18" s="202"/>
      <c r="F18" s="202"/>
      <c r="G18" s="202"/>
      <c r="H18" s="174" t="s">
        <v>122</v>
      </c>
      <c r="I18" s="174"/>
      <c r="J18" s="175"/>
      <c r="K18" s="36"/>
      <c r="L18" s="32" t="s">
        <v>86</v>
      </c>
      <c r="M18" s="51" t="s">
        <v>7</v>
      </c>
      <c r="V18" s="76" t="s">
        <v>22</v>
      </c>
      <c r="W18" s="77">
        <v>60</v>
      </c>
      <c r="X18" s="44"/>
      <c r="Y18" s="78" t="s">
        <v>34</v>
      </c>
      <c r="Z18" s="77"/>
      <c r="AA18" s="79">
        <v>9.75</v>
      </c>
      <c r="AB18" s="77"/>
      <c r="AC18" s="35"/>
      <c r="AD18" s="77">
        <v>1990</v>
      </c>
      <c r="AE18" s="77">
        <v>8</v>
      </c>
    </row>
    <row r="19" spans="1:31" s="100" customFormat="1" ht="16.5" hidden="1" customHeight="1" x14ac:dyDescent="0.3">
      <c r="A19" s="111" t="str">
        <f>IF(AND(A13="TRUE",D13="TRUE",H18="Annual Professional Maintenance"),"DOE Does Not Allow Degration of this Type Furnace",IF(AND(A13="TRUE",D13="TRUE",H18="Seldom or Never Maintained"),"DOE Does Not Allow this Maintenance Selection",IF(AND(A13="TRUE",E13="TRUE",H18="Annual Professional Maintenance"),"DOE Does Not Allow Degration of this Type Furnace",IF(AND(A13="TRUE",E13="TRUE",H18="Seldom or Never Maintained"),"DOE Does Not Allow this Maintenance Selection",IF(AND(A13="TRUE",F13="TRUE",H18="Annual Professional Maintenance"),0.01,IF(AND(A13="TRUE",F13="TRUE",H18="Seldom or Never Maintained"),"DOE Does Not Allow this Maintenance Selection",""))))))</f>
        <v/>
      </c>
      <c r="B19" s="112" t="str">
        <f>IF(AND(B13="TRUE",D13="TRUE",H18="Annual Professional Maintenance"),0.005,IF(AND(B13="TRUE",D13="TRUE",H18="Seldom or Never Maintained"),0.015,IF(AND(B13="TRUE",E13="TRUE",H18="Annual Professional Maintenance"),0.01,IF(AND(B13="TRUE",E13="TRUE",H18="Seldom or Never Maintained"),0.03,IF(AND(B13="TRUE",F13="TRUE",H18="Annual Professional Maintenance"),0.01,IF(AND(B13="TRUE",F13="TRUE",H18="Seldom or Never Maintained"),0.03,""))))))</f>
        <v/>
      </c>
      <c r="C19" s="113" t="str">
        <f>IF(AND(C13="TRUE",D13="TRUE",H18="Annual Professional Maintenance"),"DOE Does Not Allow Degration of this Type Furnace",IF(AND(C13="TRUE",D13="TRUE",H18="Seldom or Never Maintained"),"DOE Does Not Allow this Maintenance Selection",IF(AND(C13="TRUE",E13="TRUE",H18="Annual Professional Maintenance"),"DOE Does Not Allow Degration of this Type Furnace",IF(AND(C13="TRUE",E13="TRUE",H18="Seldom or Never Maintained"),"DOE Does Not Allow this Maintenance Selection",IF(AND(C13="TRUE",F13="TRUE",H18="Annual Professional Maintenance"),0.01,IF(AND(C13="TRUE",F13="TRUE",H18="Seldom or Never Maintained"),"DOE Does Not Allow this Maintenance Selection",""))))))</f>
        <v/>
      </c>
      <c r="D19" s="98"/>
      <c r="E19" s="98"/>
      <c r="F19" s="98"/>
      <c r="G19" s="98"/>
      <c r="H19" s="223"/>
      <c r="I19" s="223"/>
      <c r="J19" s="224"/>
      <c r="K19" s="99"/>
    </row>
    <row r="20" spans="1:31" s="24" customFormat="1" ht="16.5" customHeight="1" thickBot="1" x14ac:dyDescent="0.35">
      <c r="A20" s="170" t="s">
        <v>6</v>
      </c>
      <c r="B20" s="171"/>
      <c r="C20" s="171"/>
      <c r="D20" s="171"/>
      <c r="E20" s="171"/>
      <c r="F20" s="171"/>
      <c r="G20" s="171"/>
      <c r="H20" s="225" t="str">
        <f>(CONCATENATE(A19,B19,C19,D19))</f>
        <v/>
      </c>
      <c r="I20" s="225"/>
      <c r="J20" s="226"/>
      <c r="K20" s="33"/>
      <c r="L20" s="32" t="s">
        <v>87</v>
      </c>
      <c r="M20" s="51" t="s">
        <v>91</v>
      </c>
      <c r="V20" s="49" t="s">
        <v>19</v>
      </c>
      <c r="W20" s="41">
        <v>81</v>
      </c>
      <c r="X20" s="44"/>
      <c r="Y20" s="48" t="s">
        <v>34</v>
      </c>
      <c r="Z20" s="41"/>
      <c r="AA20" s="47">
        <v>8.5</v>
      </c>
      <c r="AB20" s="41"/>
      <c r="AC20" s="35"/>
      <c r="AD20" s="41">
        <v>1991</v>
      </c>
      <c r="AE20" s="41">
        <v>8</v>
      </c>
    </row>
    <row r="21" spans="1:31" s="168" customFormat="1" ht="16.5" hidden="1" customHeight="1" thickBot="1" x14ac:dyDescent="0.35">
      <c r="A21" s="158" t="str">
        <f>IF(AND(A13="TRUE",H8="Gas Furnace",H18="Annual Professional Maintenance"),H12*100,IF(AND(A13="TRUE",H8="Gas Furnace",H18="Seldom or Never Maintained"),"DOE Does Not Allow this Maintenance Selection",IF(AND(A13="TRUE",H8="Electric Resistance Furnace",H18="Annual Professional Maintenance"),H14*100,IF(AND(A13="TRUE",H8="Electric Resistance Furnace",H18="Seldom or Never Maintained"),"DOE Does Not Allow this Maintenance Selection",IF(AND(A13="TRUE",H8="Heat Pump",H18="Annual Professional Maintenance"),ROUND(I16*(1-0.01)^(J3-H9),1),IF(AND(A13="TRUE",H8="Heat Pump",H18="Seldom or Never Maintained"),"DOE Does Not Allow this Maintenance Selection",""))))))</f>
        <v/>
      </c>
      <c r="B21" s="159" t="str">
        <f>IF(AND(B13="TRUE",D13="TRUE",H18="Annual Professional Maintenance"),ROUND(H12*(1-H20)^(J3-H9)*100,1),IF(AND(B13="TRUE",D13="TRUE",H18="Seldom or Never Maintained"),ROUND(H12*(1-H20)^(J3-H9)*100,1),IF(AND(B13="TRUE",E13="TRUE",H18="Annual Professional Maintenance"),ROUND(H14*(1-H20)^(J3-H9)*100,1),IF(AND(B13="TRUE",E13="TRUE",H18="Seldom or Never Maintained"),ROUND(H14*(1-H20)^(J3-H9)*100,1),IF(AND(B13="TRUE",F13="TRUE",H18="Annual Professional Maintenance"),ROUND(I16*(1-H20)^(J3-H9),1),IF(AND(B13="TRUE",F13="TRUE",H18="Seldom or Never Maintained"),ROUND(I16*(1-H20)^(J3-H9),1),""))))))</f>
        <v/>
      </c>
      <c r="C21" s="160" t="str">
        <f>IF(AND(C13="TRUE",H8="Gas Furnace",H18="Annual Professional Maintenance"),H12*100,IF(AND(C13="TRUE",H8="Gas Furnace",H18="Seldom or Never Maintained"),"DOE Does Not Allow this Maintenance Selection",IF(AND(C13="TRUE",H8="Electric Resistance Furnace",H18="Annual Professional Maintenance"),H14*100,IF(AND(C13="TRUE",H8="Electric Resistance Furnace",H18="Seldom or Never Maintained"),"DOE Does Not Allow this Maintenance Selection",IF(AND(C13="TRUE",H8="Heat Pump",H18="Annual Professional Maintenance"),ROUND(I16*(1-0.01)^(J3-H9),1),IF(AND(C13="TRUE",H8="Heat Pump",H18="Seldom or Never Maintained"),"DOE Does Not Allow this Maintenance Selection",""))))))</f>
        <v/>
      </c>
      <c r="D21" s="161" t="str">
        <f>CONCATENATE(A21,B21,C21)</f>
        <v/>
      </c>
      <c r="E21" s="160"/>
      <c r="F21" s="162"/>
      <c r="G21" s="163"/>
      <c r="H21" s="164"/>
      <c r="I21" s="165" t="str">
        <f>IF(AND(H8="Electric Resistance Furnace",H18="Annual Professional Maintenance")," % of Efficiency",IF(AND(H8="Gas Furnace",H18="Annual Professional Maintenance"),"% AFUE",IF(AND(H8="Heat Pump",H18="Annual Professional Maintenance")," HSPF",IF(AND(H7="LIHEAP",H8="Electric Resistance Furnace",H18="Seldom Or Never Maintained"),"% of Efficiency",IF(AND(H7="LIHEAP",H8="Gas Furnace",H18="Seldom Or Never Maintained")," % AFUE",IF(AND(H7="LIHEAP",H8="Heat Pump",H18="Seldom Or Never Maintained")," HSPF",""))))))</f>
        <v/>
      </c>
      <c r="J21" s="166" t="str">
        <f>CONCATENATE(D21,I21)</f>
        <v/>
      </c>
      <c r="K21" s="167"/>
      <c r="L21" s="167"/>
      <c r="V21" s="169"/>
      <c r="W21" s="169"/>
      <c r="X21" s="167"/>
      <c r="Y21" s="169"/>
      <c r="Z21" s="169"/>
      <c r="AA21" s="169"/>
      <c r="AB21" s="169"/>
      <c r="AD21" s="169"/>
      <c r="AE21" s="169"/>
    </row>
    <row r="22" spans="1:31" s="34" customFormat="1" ht="16.5" customHeight="1" thickBot="1" x14ac:dyDescent="0.35">
      <c r="A22" s="152" t="s">
        <v>27</v>
      </c>
      <c r="B22" s="153"/>
      <c r="C22" s="153"/>
      <c r="D22" s="153"/>
      <c r="E22" s="153"/>
      <c r="F22" s="153"/>
      <c r="G22" s="153"/>
      <c r="H22" s="208" t="str">
        <f>J21</f>
        <v/>
      </c>
      <c r="I22" s="209"/>
      <c r="J22" s="210"/>
      <c r="K22" s="43"/>
      <c r="L22" s="32" t="s">
        <v>88</v>
      </c>
      <c r="M22" s="51" t="s">
        <v>26</v>
      </c>
      <c r="O22" s="39"/>
      <c r="P22" s="38"/>
      <c r="Q22" s="37"/>
      <c r="R22" s="37"/>
      <c r="S22" s="37"/>
      <c r="T22" s="37"/>
      <c r="U22" s="37"/>
      <c r="V22" s="49" t="s">
        <v>18</v>
      </c>
      <c r="W22" s="41">
        <v>71</v>
      </c>
      <c r="X22" s="44"/>
      <c r="Y22" s="48" t="s">
        <v>32</v>
      </c>
      <c r="Z22" s="41"/>
      <c r="AA22" s="47">
        <v>7.5</v>
      </c>
      <c r="AB22" s="41"/>
      <c r="AC22" s="35"/>
      <c r="AD22" s="41">
        <v>1992</v>
      </c>
      <c r="AE22" s="41">
        <v>10</v>
      </c>
    </row>
    <row r="23" spans="1:31" s="34" customFormat="1" ht="16.5" customHeight="1" x14ac:dyDescent="0.3">
      <c r="A23" s="50" t="s">
        <v>23</v>
      </c>
      <c r="B23" s="54"/>
      <c r="C23" s="54"/>
      <c r="D23" s="54"/>
      <c r="E23" s="54"/>
      <c r="F23" s="54"/>
      <c r="G23" s="54"/>
      <c r="H23" s="39"/>
      <c r="I23" s="148"/>
      <c r="J23" s="148"/>
      <c r="K23" s="42"/>
      <c r="O23" s="39"/>
      <c r="P23" s="38"/>
      <c r="Q23" s="37"/>
      <c r="R23" s="37"/>
      <c r="S23" s="37"/>
      <c r="T23" s="37"/>
      <c r="U23" s="37"/>
      <c r="V23" s="49" t="s">
        <v>17</v>
      </c>
      <c r="W23" s="41">
        <v>80</v>
      </c>
      <c r="X23" s="44"/>
      <c r="Y23" s="48" t="s">
        <v>30</v>
      </c>
      <c r="Z23" s="41"/>
      <c r="AA23" s="47">
        <v>6.5</v>
      </c>
      <c r="AB23" s="41"/>
      <c r="AC23" s="35"/>
      <c r="AD23" s="41">
        <v>1993</v>
      </c>
      <c r="AE23" s="41">
        <v>10</v>
      </c>
    </row>
    <row r="24" spans="1:31" ht="15.6" customHeight="1" x14ac:dyDescent="0.3">
      <c r="A24" s="59" t="s">
        <v>20</v>
      </c>
      <c r="B24" s="54"/>
      <c r="C24" s="54"/>
      <c r="D24" s="54"/>
      <c r="E24" s="54"/>
      <c r="F24" s="54"/>
      <c r="G24" s="54"/>
      <c r="H24" s="149"/>
      <c r="I24" s="149"/>
      <c r="J24" s="149"/>
      <c r="K24" s="9"/>
      <c r="M24" s="63"/>
      <c r="N24" s="80"/>
      <c r="O24" s="6"/>
      <c r="P24" s="5"/>
      <c r="Q24" s="4"/>
      <c r="R24" s="4"/>
      <c r="S24" s="4"/>
      <c r="T24" s="4"/>
      <c r="U24" s="4"/>
      <c r="V24" s="11" t="s">
        <v>16</v>
      </c>
      <c r="W24" s="10">
        <v>82</v>
      </c>
      <c r="X24" s="25"/>
      <c r="Y24" s="23" t="s">
        <v>28</v>
      </c>
      <c r="Z24" s="10"/>
      <c r="AA24" s="15">
        <v>9</v>
      </c>
      <c r="AB24" s="10"/>
      <c r="AD24" s="10">
        <v>1994</v>
      </c>
      <c r="AE24" s="10">
        <v>10</v>
      </c>
    </row>
    <row r="25" spans="1:31" ht="15.6" customHeight="1" x14ac:dyDescent="0.3">
      <c r="A25" s="59" t="s">
        <v>2</v>
      </c>
      <c r="B25" s="54"/>
      <c r="C25" s="54"/>
      <c r="D25" s="54"/>
      <c r="E25" s="54"/>
      <c r="F25" s="54"/>
      <c r="G25" s="54"/>
      <c r="H25" s="39"/>
      <c r="I25" s="149"/>
      <c r="J25" s="149"/>
      <c r="K25" s="151"/>
      <c r="M25" s="63"/>
      <c r="O25" s="6"/>
      <c r="P25" s="5"/>
      <c r="Q25" s="4"/>
      <c r="R25" s="4"/>
      <c r="S25" s="4"/>
      <c r="T25" s="4"/>
      <c r="U25" s="4"/>
      <c r="V25" s="11" t="s">
        <v>15</v>
      </c>
      <c r="W25" s="10">
        <v>100</v>
      </c>
      <c r="X25" s="25"/>
      <c r="Y25" s="23" t="s">
        <v>24</v>
      </c>
      <c r="Z25" s="10"/>
      <c r="AA25" s="15">
        <v>8.5</v>
      </c>
      <c r="AB25" s="10"/>
      <c r="AD25" s="10">
        <v>1995</v>
      </c>
      <c r="AE25" s="10">
        <v>10</v>
      </c>
    </row>
    <row r="26" spans="1:31" ht="15.6" customHeight="1" x14ac:dyDescent="0.3">
      <c r="A26" s="59" t="s">
        <v>1</v>
      </c>
      <c r="B26" s="54"/>
      <c r="C26" s="54"/>
      <c r="D26" s="54"/>
      <c r="E26" s="54"/>
      <c r="F26" s="54"/>
      <c r="G26" s="54"/>
      <c r="H26" s="39"/>
      <c r="I26" s="149"/>
      <c r="J26" s="149"/>
      <c r="K26" s="7"/>
      <c r="O26" s="6"/>
      <c r="P26" s="38"/>
      <c r="Q26" s="4"/>
      <c r="R26" s="4"/>
      <c r="S26" s="4"/>
      <c r="T26" s="4"/>
      <c r="U26" s="4"/>
      <c r="V26" s="30" t="s">
        <v>13</v>
      </c>
      <c r="W26" s="10">
        <v>98</v>
      </c>
      <c r="X26" s="25"/>
      <c r="Y26" s="23" t="s">
        <v>21</v>
      </c>
      <c r="Z26" s="10"/>
      <c r="AA26" s="15">
        <v>25</v>
      </c>
      <c r="AB26" s="10"/>
      <c r="AD26" s="10">
        <v>1996</v>
      </c>
      <c r="AE26" s="10">
        <v>10</v>
      </c>
    </row>
    <row r="27" spans="1:31" ht="15.6" customHeight="1" x14ac:dyDescent="0.3">
      <c r="A27" s="64" t="s">
        <v>0</v>
      </c>
      <c r="B27" s="54"/>
      <c r="C27" s="54"/>
      <c r="D27" s="54"/>
      <c r="E27" s="54"/>
      <c r="F27" s="54"/>
      <c r="G27" s="54"/>
      <c r="H27" s="149"/>
      <c r="I27" s="149"/>
      <c r="J27" s="149"/>
      <c r="K27" s="3"/>
      <c r="V27" s="11" t="s">
        <v>11</v>
      </c>
      <c r="W27" s="10">
        <v>100</v>
      </c>
      <c r="X27" s="25"/>
      <c r="Y27" s="4" t="s">
        <v>68</v>
      </c>
      <c r="AD27" s="10">
        <v>1997</v>
      </c>
      <c r="AE27" s="10">
        <v>10</v>
      </c>
    </row>
    <row r="28" spans="1:31" ht="15.6" customHeight="1" thickBot="1" x14ac:dyDescent="0.35">
      <c r="A28" s="54"/>
      <c r="B28" s="54"/>
      <c r="C28" s="54"/>
      <c r="D28" s="54"/>
      <c r="E28" s="54"/>
      <c r="F28" s="54"/>
      <c r="G28" s="54"/>
      <c r="H28" s="150"/>
      <c r="I28" s="150"/>
      <c r="J28" s="150"/>
      <c r="K28" s="3"/>
      <c r="V28" s="11" t="s">
        <v>9</v>
      </c>
      <c r="AD28" s="10">
        <v>1998</v>
      </c>
      <c r="AE28" s="10">
        <v>10</v>
      </c>
    </row>
    <row r="29" spans="1:31" ht="16.2" thickBot="1" x14ac:dyDescent="0.35">
      <c r="A29" s="179" t="s">
        <v>69</v>
      </c>
      <c r="B29" s="180"/>
      <c r="C29" s="180"/>
      <c r="D29" s="180"/>
      <c r="E29" s="180"/>
      <c r="F29" s="180"/>
      <c r="G29" s="180"/>
      <c r="H29" s="180"/>
      <c r="I29" s="180"/>
      <c r="J29" s="181"/>
      <c r="K29" s="3"/>
      <c r="L29" s="5" t="s">
        <v>14</v>
      </c>
      <c r="V29" s="4" t="s">
        <v>68</v>
      </c>
      <c r="AD29" s="10">
        <v>1999</v>
      </c>
      <c r="AE29" s="10">
        <v>10</v>
      </c>
    </row>
    <row r="30" spans="1:31" ht="16.649999999999999" customHeight="1" x14ac:dyDescent="0.3">
      <c r="A30" s="182" t="s">
        <v>76</v>
      </c>
      <c r="B30" s="183"/>
      <c r="C30" s="183"/>
      <c r="D30" s="183"/>
      <c r="E30" s="183"/>
      <c r="F30" s="183"/>
      <c r="G30" s="183"/>
      <c r="H30" s="184" t="s">
        <v>116</v>
      </c>
      <c r="I30" s="184"/>
      <c r="J30" s="185"/>
      <c r="K30" s="3"/>
      <c r="L30" s="52" t="s">
        <v>12</v>
      </c>
      <c r="M30" s="51" t="s">
        <v>80</v>
      </c>
      <c r="AD30" s="10">
        <v>2000</v>
      </c>
      <c r="AE30" s="10">
        <v>12</v>
      </c>
    </row>
    <row r="31" spans="1:31" ht="16.5" customHeight="1" x14ac:dyDescent="0.3">
      <c r="A31" s="186" t="s">
        <v>94</v>
      </c>
      <c r="B31" s="187"/>
      <c r="C31" s="187"/>
      <c r="D31" s="187"/>
      <c r="E31" s="187"/>
      <c r="F31" s="187"/>
      <c r="G31" s="187"/>
      <c r="H31" s="174" t="s">
        <v>118</v>
      </c>
      <c r="I31" s="174"/>
      <c r="J31" s="175"/>
      <c r="K31" s="3"/>
      <c r="L31" s="52" t="s">
        <v>10</v>
      </c>
      <c r="M31" s="51" t="s">
        <v>81</v>
      </c>
      <c r="AD31" s="10">
        <v>2001</v>
      </c>
      <c r="AE31" s="10">
        <v>12</v>
      </c>
    </row>
    <row r="32" spans="1:31" ht="16.5" customHeight="1" x14ac:dyDescent="0.3">
      <c r="A32" s="191" t="s">
        <v>90</v>
      </c>
      <c r="B32" s="192"/>
      <c r="C32" s="192"/>
      <c r="D32" s="192"/>
      <c r="E32" s="192"/>
      <c r="F32" s="192"/>
      <c r="G32" s="192"/>
      <c r="H32" s="172"/>
      <c r="I32" s="172"/>
      <c r="J32" s="173"/>
      <c r="L32" s="32" t="s">
        <v>82</v>
      </c>
      <c r="M32" s="46" t="s">
        <v>79</v>
      </c>
      <c r="AB32" s="1"/>
      <c r="AD32" s="10">
        <v>2002</v>
      </c>
      <c r="AE32" s="10">
        <v>12</v>
      </c>
    </row>
    <row r="33" spans="1:31" s="106" customFormat="1" ht="16.5" hidden="1" customHeight="1" x14ac:dyDescent="0.3">
      <c r="A33" s="123" t="b">
        <f>IF(H30="DOE",TRUE,FALSE)</f>
        <v>0</v>
      </c>
      <c r="B33" s="124" t="b">
        <f>IF(H30="LIHEAP",TRUE,FALSE)</f>
        <v>0</v>
      </c>
      <c r="C33" s="124" t="b">
        <f>IF(H30="DOE &amp; LIHEAP",TRUE,FALSE)</f>
        <v>0</v>
      </c>
      <c r="D33" s="124" t="b">
        <f>IF(H31="Split System AC",TRUE,FALSE)</f>
        <v>0</v>
      </c>
      <c r="E33" s="124" t="b">
        <f>IF(H31="Heat Pump", TRUE,FALSE)</f>
        <v>0</v>
      </c>
      <c r="F33" s="124" t="b">
        <f>IF(H31="Evaporative Cooler",TRUE,FALSE)</f>
        <v>0</v>
      </c>
      <c r="G33" s="125" t="str">
        <f>IF(AND(D33=FALSE,E33=FALSE,F33=FALSE),"",IF(AND(D33=TRUE,H32&gt;1,H34&gt;1),H34,IF(AND(D33=TRUE,H34&lt;1,H32&gt;=1980),VLOOKUP(H32,AD3:AE54,2),IF(AND(E33=TRUE,H32&gt;1,H34&gt;1),H34,IF(AND(E33=TRUE,H34&lt;1,H32&gt;=1),VLOOKUP(H32,AD3:AE54,2),IF(AND(F33=TRUE,H34&gt;1,H32&gt;=1),25,IF(AND(F33=TRUE,H34&lt;1,H32&gt;=1),25,"")))))))</f>
        <v/>
      </c>
      <c r="H33" s="126"/>
      <c r="I33" s="126"/>
      <c r="J33" s="127"/>
      <c r="W33" s="109"/>
      <c r="X33" s="109"/>
      <c r="Y33" s="109"/>
      <c r="Z33" s="109"/>
      <c r="AA33" s="109"/>
      <c r="AC33" s="109"/>
    </row>
    <row r="34" spans="1:31" ht="16.5" customHeight="1" x14ac:dyDescent="0.3">
      <c r="A34" s="170" t="s">
        <v>111</v>
      </c>
      <c r="B34" s="171"/>
      <c r="C34" s="171"/>
      <c r="D34" s="171"/>
      <c r="E34" s="171"/>
      <c r="F34" s="171"/>
      <c r="G34" s="171"/>
      <c r="H34" s="85"/>
      <c r="I34" s="82" t="str">
        <f>I35</f>
        <v/>
      </c>
      <c r="J34" s="81" t="str">
        <f>IF(OR(H31="Split System AC",H31="Heat Pump",H31="Evaporative Cooler"),"SEER","")</f>
        <v/>
      </c>
      <c r="L34" s="53" t="s">
        <v>10</v>
      </c>
      <c r="M34" s="38" t="s">
        <v>75</v>
      </c>
      <c r="N34" s="34"/>
      <c r="O34" s="34"/>
      <c r="P34" s="34"/>
      <c r="Q34" s="34"/>
      <c r="AD34" s="41">
        <v>2003</v>
      </c>
      <c r="AE34" s="41">
        <v>12</v>
      </c>
    </row>
    <row r="35" spans="1:31" s="103" customFormat="1" ht="16.5" hidden="1" customHeight="1" x14ac:dyDescent="0.3">
      <c r="A35" s="128"/>
      <c r="B35" s="129"/>
      <c r="C35" s="129"/>
      <c r="D35" s="129"/>
      <c r="E35" s="129"/>
      <c r="F35" s="129"/>
      <c r="G35" s="130"/>
      <c r="H35" s="126"/>
      <c r="I35" s="140" t="str">
        <f>IF(AND(H31="Split System AC",H34&gt;8),H34,IF(AND(H31="Split System AC",H34&lt;8),VLOOKUP(H32,AD3:AE60,2,),IF(AND(H31="Heat Pump",H34&gt;8),H34,IF(AND(H31="Heat Pump",H34&lt;8),VLOOKUP(H32,AD3:AE60,2,),IF(AND(H31="Evaporative Cooler",H32&gt;1980),25,"")))))</f>
        <v/>
      </c>
      <c r="J35" s="127"/>
      <c r="W35" s="131"/>
      <c r="X35" s="131"/>
      <c r="Y35" s="131"/>
      <c r="Z35" s="131"/>
      <c r="AA35" s="131"/>
      <c r="AB35" s="131"/>
      <c r="AC35" s="131"/>
    </row>
    <row r="36" spans="1:31" ht="16.5" customHeight="1" x14ac:dyDescent="0.3">
      <c r="A36" s="170" t="s">
        <v>113</v>
      </c>
      <c r="B36" s="171"/>
      <c r="C36" s="171"/>
      <c r="D36" s="171"/>
      <c r="E36" s="171"/>
      <c r="F36" s="171"/>
      <c r="G36" s="171"/>
      <c r="H36" s="174" t="s">
        <v>119</v>
      </c>
      <c r="I36" s="174"/>
      <c r="J36" s="175"/>
      <c r="L36" s="53" t="s">
        <v>8</v>
      </c>
      <c r="M36" s="6" t="s">
        <v>7</v>
      </c>
      <c r="AD36" s="41">
        <v>2004</v>
      </c>
      <c r="AE36" s="41">
        <v>12</v>
      </c>
    </row>
    <row r="37" spans="1:31" s="103" customFormat="1" ht="16.5" hidden="1" customHeight="1" x14ac:dyDescent="0.3">
      <c r="A37" s="132" t="str">
        <f>IF(AND(A33=TRUE,H31="Split System AC",H36="Annual Professional Maintenance"),0.01,IF(AND(A33=TRUE,H31="Split System AC",H36="Seldom or Never Maintained"),"DOE Does Not Allow this Selection",IF(AND(A33=TRUE,H31="Heat Pump",H36="Annual Professional Maintenance"),0.01,IF(AND(A33=TRUE,H31="Heat Pump",H36="Seldom or Never Maintained"),"DOE Does Not Allow this Selection",IF(AND(A33=TRUE,H31="Evaporative Cooler",H36="Annual Professional Maintenance"),"Degradation Not Allowed",IF(AND(A33=TRUE,H31="Evaporative Cooler",H36="Seldom or Never Maintained"),"DOE Does Not Allow this Selection",""))))))</f>
        <v/>
      </c>
      <c r="B37" s="133" t="str">
        <f>IF(AND(B33=TRUE,H31="Split System AC",H36="Annual Professional Maintenance"),0.01,IF(AND(B33=TRUE,H31="Split System AC",H36="Seldom or Never Maintained"),0.03,IF(AND(B33=TRUE,H31="Heat Pump",H36="Annual Professional Maintenance"),0.01,IF(AND(B33=TRUE,H31="Heat Pump",H36="Seldom or Never Maintained"),0.03,IF(AND(B33=TRUE,H31="Evaporative Cooler",H36="Annual Professional Maintenance"),"Degradation Not Allowed",IF(AND(B33=TRUE,H31="Evaporative Cooler",H36="Seldom or Never Maintained"),"Degradation Not Allowed",""))))))</f>
        <v/>
      </c>
      <c r="C37" t="str">
        <f>IF(AND(C33=TRUE,H31="Split System AC",H36="Annual Professional Maintenance"),0.01,IF(AND(C33=TRUE,H31="Split System AC",H36="Seldom or Never Maintained"),"DOE Does Not Allow this Selection",IF(AND(C33=TRUE,H31="Heat Pump",H36="Annual Professional Maintenance"),0.01,IF(AND(C33=TRUE,H31="Heat Pump",H36="Seldom or Never Maintained")," DOE Does Not Allow this Selection ",IF(AND(C33=TRUE,H31="Evaporative Cooler",H36="Annual Professional Maintenance"),"Degradation Not Allowed",IF(AND(C33=TRUE,H31="Evaporative Cooler",H36="Seldom or Never Maintained"),"DOE Does Not Allow this Selection",""))))))</f>
        <v/>
      </c>
      <c r="D37" s="129"/>
      <c r="E37" s="129"/>
      <c r="F37" s="129"/>
      <c r="G37" s="129"/>
      <c r="H37" s="106" t="str">
        <f>IF(A33=TRUE,A37,IF(B33=TRUE,B37,IF(C33=TRUE,C37,"")))</f>
        <v/>
      </c>
      <c r="I37" s="107"/>
      <c r="J37" s="134"/>
      <c r="L37" s="135"/>
      <c r="M37" s="136"/>
      <c r="W37" s="131"/>
      <c r="X37" s="131"/>
      <c r="Y37" s="131"/>
      <c r="Z37" s="131"/>
      <c r="AA37" s="131"/>
      <c r="AB37" s="131"/>
      <c r="AC37" s="131"/>
      <c r="AD37" s="137"/>
      <c r="AE37" s="137"/>
    </row>
    <row r="38" spans="1:31" ht="16.5" customHeight="1" thickBot="1" x14ac:dyDescent="0.35">
      <c r="A38" s="170" t="s">
        <v>114</v>
      </c>
      <c r="B38" s="171"/>
      <c r="C38" s="171"/>
      <c r="D38" s="171"/>
      <c r="E38" s="171"/>
      <c r="F38" s="171"/>
      <c r="G38" s="171"/>
      <c r="H38" s="176" t="str">
        <f>H37</f>
        <v/>
      </c>
      <c r="I38" s="177"/>
      <c r="J38" s="178"/>
      <c r="L38" s="53" t="s">
        <v>5</v>
      </c>
      <c r="M38" s="39" t="s">
        <v>91</v>
      </c>
      <c r="AD38" s="41">
        <v>2005</v>
      </c>
      <c r="AE38" s="41">
        <v>12</v>
      </c>
    </row>
    <row r="39" spans="1:31" s="103" customFormat="1" ht="16.5" hidden="1" customHeight="1" thickBot="1" x14ac:dyDescent="0.35">
      <c r="A39" s="138">
        <f>J3-H32</f>
        <v>0</v>
      </c>
      <c r="B39" s="141" t="str">
        <f>IF(AND(A33=TRUE,H31="Split System AC",H36="Annual Professional Maintenance"),ROUND(I34*(1-0.01)^A39,1),IF(AND(A33=TRUE,H31="Split System AC",H36="Seldom or Never Maintained"),"DOE Does Not Allow Equipment Maintenance Selection",IF(AND(A33=TRUE,H31="Heat Pump",H36="Annual Professional Maintenance"),ROUND(I34*(1-0.01)^A39,1),IF(AND(A33=TRUE,H31="Heat Pump",H36="Seldom or Never Maintained"),"DOE Does Not Allow Equipment Maintenance Selection",IF(AND(A33=TRUE,H31="Evaporative Cooler",H36="Annual Professional Maintenance"),"Degradation Not Allowed",IF(AND(A33=TRUE,H31="Evaporative Cooler",H36="Seldom or Never Maintained"),"DOE Does Not Allow Equipment Maintenance Selection",""))))))</f>
        <v/>
      </c>
      <c r="C39" s="143" t="str">
        <f>IF(AND(B33=TRUE,H31="Split System AC",H36="Annual Professional Maintenance"),ROUND(I34*(1-0.01)^A39,1),IF(AND(B33=TRUE,H31="Split System AC",H36="Seldom or Never Maintained"),ROUND(I34*(1-0.02)^A39,1),IF(AND(B33=TRUE,H31="Heat Pump",H36="Annual Professional Maintenance"),ROUND(I34*(1-0.01)^A39,1),IF(AND(B33=TRUE,H31="Heat Pump",H36="Seldom or Never Maintained"),ROUND(I34*(1-0.02)^A39,1),IF(AND(B33=TRUE,H31="Evaporative Cooler",H36="Annual Professional Maintenance"),"Degradation Not Allowed",IF(AND(B33=TRUE,H31="Evaporative Cooler",H36="Seldom or Never Maintained"),"Degradation Not Allowed",""))))))</f>
        <v/>
      </c>
      <c r="D39" s="142" t="str">
        <f>IF(AND(C33=TRUE,H31="Split System AC",H36="Annual Professional Maintenance"),ROUND(I34*(1-C37)^A39,1),IF(AND(C33=TRUE,H31="Split System AC",H36="Seldom or Never Maintained"),"DOE Does Not Allow Equipment Maintenance Selection",IF(AND(C33=TRUE,H31="Heat Pump",H36="Annual Professional Maintenance"),ROUND(I34*(1-C37)^A39,1),IF(AND(C33=TRUE,H31="Heat Pump",H36="Seldom or Never Maintained"),"DOE Does Not Allow Equipment Maintenance Selection",IF(AND(C33=TRUE,H31="Evaporative Cooler",H36="Annual Professional Maintenance"),"Degradation Not Allowed",IF(AND(C33=TRUE,H31="Evaporative Cooler",H36="Seldom or Never Maintained"),"DOE Does Not Allow Equipment Maintenance Selection",""))))))</f>
        <v/>
      </c>
      <c r="E39" s="133"/>
      <c r="F39" s="106"/>
      <c r="G39" s="139" t="b">
        <f>IF(C4&gt;1,CONCATENATE(B39,C39,D39,""))</f>
        <v>0</v>
      </c>
      <c r="H39" s="126" t="str">
        <f>IF(OR(G39="DOE Does Not Allow Equipment Maintenance Selection",G39="Degradation Not Allowed"),""," SEER")</f>
        <v xml:space="preserve"> SEER</v>
      </c>
      <c r="I39" s="126"/>
      <c r="J39" s="127"/>
      <c r="W39" s="131"/>
      <c r="X39" s="131"/>
      <c r="Y39" s="131"/>
      <c r="Z39" s="131"/>
      <c r="AA39" s="131"/>
      <c r="AB39" s="131"/>
      <c r="AC39" s="131"/>
    </row>
    <row r="40" spans="1:31" ht="16.5" customHeight="1" thickBot="1" x14ac:dyDescent="0.35">
      <c r="A40" s="55" t="s">
        <v>59</v>
      </c>
      <c r="B40" s="56"/>
      <c r="C40" s="56"/>
      <c r="D40" s="56"/>
      <c r="E40" s="56"/>
      <c r="F40" s="56"/>
      <c r="G40" s="56"/>
      <c r="H40" s="188" t="str">
        <f>IF(H32&gt;1980,CONCATENATE(G39,H39),"")</f>
        <v/>
      </c>
      <c r="I40" s="189"/>
      <c r="J40" s="190"/>
      <c r="L40" s="53" t="s">
        <v>4</v>
      </c>
      <c r="M40" s="6" t="s">
        <v>74</v>
      </c>
      <c r="AD40" s="41">
        <v>2006</v>
      </c>
      <c r="AE40" s="41">
        <v>12</v>
      </c>
    </row>
    <row r="41" spans="1:31" s="34" customFormat="1" ht="16.5" customHeight="1" x14ac:dyDescent="0.3">
      <c r="A41" s="146" t="s">
        <v>3</v>
      </c>
      <c r="B41" s="54"/>
      <c r="C41" s="54"/>
      <c r="D41" s="54"/>
      <c r="E41" s="54"/>
      <c r="F41" s="54"/>
      <c r="G41" s="54"/>
      <c r="H41" s="147" t="s">
        <v>0</v>
      </c>
      <c r="I41" s="154"/>
      <c r="J41" s="156"/>
      <c r="L41" s="53"/>
      <c r="M41" s="38"/>
      <c r="W41" s="35"/>
      <c r="X41" s="35"/>
      <c r="Y41" s="35"/>
      <c r="Z41" s="35"/>
      <c r="AA41" s="35"/>
      <c r="AB41" s="35"/>
      <c r="AC41" s="35"/>
      <c r="AD41" s="41">
        <v>2007</v>
      </c>
      <c r="AE41" s="41">
        <v>12</v>
      </c>
    </row>
    <row r="42" spans="1:31" s="34" customFormat="1" ht="16.5" customHeight="1" x14ac:dyDescent="0.3">
      <c r="A42" s="146" t="s">
        <v>92</v>
      </c>
      <c r="B42" s="54"/>
      <c r="C42" s="54"/>
      <c r="D42" s="54"/>
      <c r="E42" s="54"/>
      <c r="F42" s="54"/>
      <c r="G42" s="54"/>
      <c r="H42" s="147" t="s">
        <v>120</v>
      </c>
      <c r="I42" s="155"/>
      <c r="J42" s="157"/>
      <c r="W42" s="35"/>
      <c r="X42" s="35"/>
      <c r="Y42" s="35"/>
      <c r="Z42" s="35"/>
      <c r="AA42" s="35"/>
      <c r="AB42" s="35"/>
      <c r="AC42" s="35"/>
      <c r="AD42" s="41">
        <v>2008</v>
      </c>
      <c r="AE42" s="41">
        <v>12</v>
      </c>
    </row>
    <row r="43" spans="1:31" s="34" customFormat="1" ht="16.5" customHeight="1" x14ac:dyDescent="0.3">
      <c r="A43" s="146" t="s">
        <v>2</v>
      </c>
      <c r="B43" s="54"/>
      <c r="C43" s="54"/>
      <c r="D43" s="54"/>
      <c r="E43" s="54"/>
      <c r="F43" s="54"/>
      <c r="G43" s="54"/>
      <c r="H43" s="155"/>
      <c r="I43" s="155"/>
      <c r="J43" s="157"/>
      <c r="W43" s="35"/>
      <c r="X43" s="35"/>
      <c r="Y43" s="35"/>
      <c r="Z43" s="35"/>
      <c r="AA43" s="35"/>
      <c r="AB43" s="35"/>
      <c r="AC43" s="35"/>
      <c r="AD43" s="41">
        <v>2009</v>
      </c>
      <c r="AE43" s="41">
        <v>14</v>
      </c>
    </row>
    <row r="44" spans="1:31" s="34" customFormat="1" ht="16.5" customHeight="1" x14ac:dyDescent="0.3">
      <c r="A44" s="146" t="s">
        <v>1</v>
      </c>
      <c r="B44" s="54"/>
      <c r="C44" s="54"/>
      <c r="D44" s="54"/>
      <c r="E44" s="54"/>
      <c r="F44" s="54"/>
      <c r="G44" s="54"/>
      <c r="H44" s="155"/>
      <c r="I44" s="155"/>
      <c r="J44" s="88" t="s">
        <v>121</v>
      </c>
      <c r="W44" s="35"/>
      <c r="X44" s="35"/>
      <c r="Y44" s="35"/>
      <c r="Z44" s="35"/>
      <c r="AA44" s="35"/>
      <c r="AB44" s="35"/>
      <c r="AC44" s="35"/>
      <c r="AD44" s="41">
        <v>2010</v>
      </c>
      <c r="AE44" s="41">
        <v>14</v>
      </c>
    </row>
    <row r="45" spans="1:31" s="34" customFormat="1" ht="16.5" customHeight="1" x14ac:dyDescent="0.3">
      <c r="B45" s="54"/>
      <c r="C45" s="54"/>
      <c r="D45" s="54"/>
      <c r="E45" s="54"/>
      <c r="F45" s="54"/>
      <c r="G45" s="54"/>
      <c r="H45" s="155"/>
      <c r="I45" s="155"/>
      <c r="W45" s="35"/>
      <c r="X45" s="35"/>
      <c r="Y45" s="35"/>
      <c r="Z45" s="35"/>
      <c r="AA45" s="35"/>
      <c r="AB45" s="35"/>
      <c r="AC45" s="35"/>
      <c r="AD45" s="41">
        <v>2011</v>
      </c>
      <c r="AE45" s="41">
        <v>14</v>
      </c>
    </row>
    <row r="46" spans="1:31" s="34" customFormat="1" ht="16.5" customHeight="1" x14ac:dyDescent="0.3">
      <c r="B46" s="54"/>
      <c r="C46" s="54"/>
      <c r="D46" s="54"/>
      <c r="E46" s="54"/>
      <c r="F46" s="54"/>
      <c r="G46" s="54"/>
      <c r="H46" s="144"/>
      <c r="J46" s="88"/>
      <c r="W46" s="35"/>
      <c r="X46" s="35"/>
      <c r="Y46" s="35"/>
      <c r="Z46" s="35"/>
      <c r="AA46" s="35"/>
      <c r="AB46" s="35"/>
      <c r="AC46" s="35"/>
      <c r="AD46" s="41">
        <v>2012</v>
      </c>
      <c r="AE46" s="41">
        <v>14</v>
      </c>
    </row>
    <row r="47" spans="1:31" ht="16.5" customHeight="1" x14ac:dyDescent="0.3">
      <c r="A47" s="54"/>
      <c r="B47" s="54"/>
      <c r="C47" s="54"/>
      <c r="D47" s="54"/>
      <c r="E47" s="54"/>
      <c r="F47" s="54"/>
      <c r="G47" s="54"/>
      <c r="H47" s="145"/>
      <c r="I47" s="54"/>
      <c r="M47" s="34"/>
      <c r="AD47" s="10">
        <v>2013</v>
      </c>
      <c r="AE47" s="10">
        <v>14</v>
      </c>
    </row>
    <row r="48" spans="1:31" ht="16.5" customHeight="1" x14ac:dyDescent="0.3">
      <c r="A48" s="1"/>
      <c r="B48" s="1"/>
      <c r="C48" s="1"/>
      <c r="D48" s="1"/>
      <c r="E48" s="1"/>
      <c r="F48" s="1"/>
      <c r="H48" s="145"/>
      <c r="I48" s="1"/>
      <c r="AD48" s="10">
        <v>2014</v>
      </c>
      <c r="AE48" s="10">
        <v>14.5</v>
      </c>
    </row>
    <row r="49" spans="1:31" ht="16.5" customHeight="1" x14ac:dyDescent="0.3">
      <c r="A49" s="1"/>
      <c r="B49" s="1"/>
      <c r="C49" s="1"/>
      <c r="D49" s="1"/>
      <c r="E49" s="1"/>
      <c r="F49" s="1"/>
      <c r="H49" s="63"/>
      <c r="I49" s="1"/>
      <c r="M49" s="34"/>
      <c r="AD49" s="10">
        <v>2015</v>
      </c>
      <c r="AE49" s="10">
        <v>14.5</v>
      </c>
    </row>
    <row r="50" spans="1:31" ht="16.5" customHeight="1" x14ac:dyDescent="0.3">
      <c r="A50" s="1"/>
      <c r="B50" s="1"/>
      <c r="C50" s="1"/>
      <c r="D50" s="1"/>
      <c r="E50" s="1"/>
      <c r="F50" s="1"/>
      <c r="AD50" s="10">
        <v>2016</v>
      </c>
      <c r="AE50" s="41">
        <v>15</v>
      </c>
    </row>
    <row r="51" spans="1:31" ht="16.5" customHeight="1" x14ac:dyDescent="0.3">
      <c r="A51" s="1"/>
      <c r="B51" s="1"/>
      <c r="C51" s="1"/>
      <c r="D51" s="1"/>
      <c r="E51" s="1"/>
      <c r="F51" s="1"/>
      <c r="I51"/>
      <c r="J51" s="62"/>
      <c r="AD51" s="41">
        <v>2017</v>
      </c>
      <c r="AE51" s="41">
        <v>15</v>
      </c>
    </row>
    <row r="52" spans="1:31" ht="16.5" customHeight="1" x14ac:dyDescent="0.3">
      <c r="A52" s="1"/>
      <c r="B52" s="1"/>
      <c r="C52" s="1"/>
      <c r="D52" s="1"/>
      <c r="E52" s="1"/>
      <c r="F52" s="1"/>
      <c r="I52" s="1"/>
      <c r="AD52" s="41">
        <v>2018</v>
      </c>
      <c r="AE52" s="41">
        <v>15</v>
      </c>
    </row>
    <row r="53" spans="1:31" ht="16.5" customHeight="1" x14ac:dyDescent="0.3">
      <c r="A53" s="1"/>
      <c r="B53" s="1"/>
      <c r="C53" s="1"/>
      <c r="D53" s="1"/>
      <c r="E53" s="1"/>
      <c r="F53" s="1"/>
      <c r="I53" s="1"/>
      <c r="J53" s="87"/>
      <c r="AD53" s="41">
        <v>2019</v>
      </c>
      <c r="AE53" s="41">
        <v>15</v>
      </c>
    </row>
    <row r="54" spans="1:31" ht="16.5" customHeight="1" x14ac:dyDescent="0.3">
      <c r="A54" s="1"/>
      <c r="B54" s="1"/>
      <c r="C54" s="1"/>
      <c r="D54" s="1"/>
      <c r="E54" s="1"/>
      <c r="F54" s="1"/>
      <c r="I54" s="1"/>
      <c r="AD54" s="41">
        <v>2020</v>
      </c>
      <c r="AE54" s="41">
        <v>15</v>
      </c>
    </row>
    <row r="55" spans="1:31" ht="16.5" customHeight="1" x14ac:dyDescent="0.3">
      <c r="A55" s="1"/>
      <c r="B55" s="1"/>
      <c r="C55" s="1"/>
      <c r="D55" s="1"/>
      <c r="E55" s="1"/>
      <c r="F55" s="1"/>
      <c r="I55" s="1"/>
      <c r="AD55" s="41">
        <v>2021</v>
      </c>
      <c r="AE55" s="41">
        <v>15</v>
      </c>
    </row>
    <row r="56" spans="1:31" ht="16.5" customHeight="1" x14ac:dyDescent="0.3">
      <c r="A56" s="1"/>
      <c r="B56" s="1"/>
      <c r="C56" s="1"/>
      <c r="D56" s="1"/>
      <c r="E56" s="1"/>
      <c r="F56" s="1"/>
      <c r="I56" s="1"/>
      <c r="AD56" s="41">
        <v>2022</v>
      </c>
      <c r="AE56" s="41">
        <v>15</v>
      </c>
    </row>
    <row r="57" spans="1:31" ht="16.5" customHeight="1" x14ac:dyDescent="0.3">
      <c r="A57" s="1"/>
      <c r="B57" s="1"/>
      <c r="C57" s="1"/>
      <c r="D57" s="1"/>
      <c r="E57" s="1"/>
      <c r="F57" s="1"/>
      <c r="I57" s="1"/>
      <c r="AD57" s="41">
        <v>2023</v>
      </c>
      <c r="AE57" s="41">
        <v>15.2</v>
      </c>
    </row>
    <row r="58" spans="1:31" ht="16.5" customHeight="1" x14ac:dyDescent="0.3">
      <c r="A58" s="1"/>
      <c r="B58" s="1"/>
      <c r="C58" s="1"/>
      <c r="D58" s="1"/>
      <c r="E58" s="1"/>
      <c r="F58" s="1"/>
      <c r="I58" s="1"/>
      <c r="AD58" s="41">
        <v>2024</v>
      </c>
      <c r="AE58" s="41">
        <v>15.2</v>
      </c>
    </row>
    <row r="59" spans="1:31" ht="16.5" customHeight="1" x14ac:dyDescent="0.3">
      <c r="A59" s="1"/>
      <c r="B59" s="1"/>
      <c r="C59" s="1"/>
      <c r="D59" s="1"/>
      <c r="E59" s="1"/>
      <c r="F59" s="1"/>
      <c r="I59" s="1"/>
      <c r="AD59" s="41">
        <v>2025</v>
      </c>
      <c r="AE59" s="41">
        <v>15.2</v>
      </c>
    </row>
    <row r="60" spans="1:31" ht="16.5" customHeight="1" x14ac:dyDescent="0.3">
      <c r="A60" s="1"/>
      <c r="B60" s="1"/>
      <c r="C60" s="1"/>
      <c r="D60" s="1"/>
      <c r="E60" s="1"/>
      <c r="F60" s="1"/>
      <c r="I60" s="1"/>
      <c r="AD60" s="115">
        <v>2026</v>
      </c>
      <c r="AE60" s="115">
        <v>15.2</v>
      </c>
    </row>
    <row r="61" spans="1:31" ht="16.5" customHeight="1" x14ac:dyDescent="0.3">
      <c r="A61" s="1"/>
      <c r="B61" s="1"/>
      <c r="C61" s="1"/>
      <c r="D61" s="1"/>
      <c r="E61" s="1"/>
      <c r="F61" s="1"/>
      <c r="I61" s="1"/>
    </row>
    <row r="62" spans="1:31" ht="16.5" customHeight="1" x14ac:dyDescent="0.3">
      <c r="A62" s="1"/>
      <c r="B62" s="1"/>
      <c r="C62" s="1"/>
      <c r="D62" s="1"/>
      <c r="E62" s="1"/>
      <c r="F62" s="1"/>
      <c r="I62" s="1"/>
    </row>
    <row r="63" spans="1:31" ht="16.5" customHeight="1" x14ac:dyDescent="0.3">
      <c r="A63" s="1"/>
      <c r="B63" s="1"/>
      <c r="C63" s="1"/>
      <c r="D63" s="1"/>
      <c r="E63" s="1"/>
      <c r="F63" s="1"/>
      <c r="I63" s="1"/>
    </row>
    <row r="64" spans="1:31" ht="16.5" customHeight="1" x14ac:dyDescent="0.3">
      <c r="A64" s="1"/>
      <c r="B64" s="1"/>
      <c r="C64" s="1"/>
      <c r="D64" s="1"/>
      <c r="E64" s="1"/>
      <c r="F64" s="1"/>
      <c r="I64" s="1"/>
    </row>
    <row r="65" spans="1:9" ht="16.5" customHeight="1" x14ac:dyDescent="0.3">
      <c r="A65" s="1"/>
      <c r="B65" s="1"/>
      <c r="C65" s="1"/>
      <c r="D65" s="1"/>
      <c r="E65" s="1"/>
      <c r="F65" s="1"/>
      <c r="I65" s="1"/>
    </row>
  </sheetData>
  <sheetProtection algorithmName="SHA-512" hashValue="p8ypchrw3Ug0hNivU7RBEP/qEmgaXaJ80NECYEkzFKGtru9aQ9kgpa83LTnskswxrKjmp2FY348xXzoOcjqrxQ==" saltValue="EFGHhwd9K3rYXfV8X16s6g==" spinCount="100000" sheet="1" selectLockedCells="1"/>
  <mergeCells count="42">
    <mergeCell ref="H22:J22"/>
    <mergeCell ref="A5:J5"/>
    <mergeCell ref="H7:J7"/>
    <mergeCell ref="H9:J9"/>
    <mergeCell ref="H14:J14"/>
    <mergeCell ref="A12:G12"/>
    <mergeCell ref="A14:G14"/>
    <mergeCell ref="A7:G7"/>
    <mergeCell ref="A8:G8"/>
    <mergeCell ref="A9:G9"/>
    <mergeCell ref="H8:J8"/>
    <mergeCell ref="I12:J12"/>
    <mergeCell ref="H15:J15"/>
    <mergeCell ref="H19:J19"/>
    <mergeCell ref="H20:J20"/>
    <mergeCell ref="H40:J40"/>
    <mergeCell ref="A32:G32"/>
    <mergeCell ref="A1:J1"/>
    <mergeCell ref="A3:B3"/>
    <mergeCell ref="A4:B4"/>
    <mergeCell ref="C3:G3"/>
    <mergeCell ref="C4:G4"/>
    <mergeCell ref="H3:I3"/>
    <mergeCell ref="A2:J2"/>
    <mergeCell ref="H4:J4"/>
    <mergeCell ref="A18:G18"/>
    <mergeCell ref="A20:G20"/>
    <mergeCell ref="H6:J6"/>
    <mergeCell ref="A6:G6"/>
    <mergeCell ref="H18:J18"/>
    <mergeCell ref="A16:G16"/>
    <mergeCell ref="A38:G38"/>
    <mergeCell ref="H32:J32"/>
    <mergeCell ref="H36:J36"/>
    <mergeCell ref="H38:J38"/>
    <mergeCell ref="A29:J29"/>
    <mergeCell ref="A30:G30"/>
    <mergeCell ref="H30:J30"/>
    <mergeCell ref="A31:G31"/>
    <mergeCell ref="H31:J31"/>
    <mergeCell ref="A34:G34"/>
    <mergeCell ref="A36:G36"/>
  </mergeCells>
  <dataValidations xWindow="1287" yWindow="691" count="21">
    <dataValidation allowBlank="1" showInputMessage="1" showErrorMessage="1" promptTitle="Existing EER" prompt="Enter the EER as found on the plate of the existing unit.  If the EER cannot be found skip this entry and meter the unit._x000a_" sqref="IT65464 H65465:I65465"/>
    <dataValidation allowBlank="1" showInputMessage="1" showErrorMessage="1" promptTitle="Existing BTUs" prompt="Enter the BTUs if it can be found on the unit.  If it cannot be found the assessor must estimate and take a photo of the unit.  Window units range from 5,000 to 24,000." sqref="IT65466 H65467:I65467"/>
    <dataValidation allowBlank="1" showInputMessage="1" showErrorMessage="1" promptTitle="Existing Amps" prompt="Enter the amps found on the plate.  If the amps cannot be found enter the amps reading using a comsuption meter or amp meter." sqref="IT65468 H65469:I65469"/>
    <dataValidation allowBlank="1" showInputMessage="1" showErrorMessage="1" promptTitle="Existing Volts" prompt="Enter the amount of volts based on the outlet.  110 volts are used by regular outlets.  220 volts are used by larger ACs." sqref="IT65470 H65471:I65471"/>
    <dataValidation allowBlank="1" showInputMessage="1" showErrorMessage="1" prompt="% EER increase using plate" sqref="IV65475"/>
    <dataValidation allowBlank="1" showInputMessage="1" showErrorMessage="1" promptTitle="Replacement EER" prompt="Enter the EER found on the (Yellow) Energy Guide of the new replacement unit." sqref="IW65464"/>
    <dataValidation allowBlank="1" showInputMessage="1" showErrorMessage="1" prompt="% decrease using amps" sqref="IV65478"/>
    <dataValidation type="list" allowBlank="1" showInputMessage="1" showErrorMessage="1" promptTitle="Equipment Maintenance" prompt="Through discussion with the client, select the appropriate maintenance done on the piece of equipment being evaluated." sqref="H36:J36">
      <formula1>"Select Equipment Maintenance Factor, Annual Professional Maintenance, Seldom or Never Maintained"</formula1>
    </dataValidation>
    <dataValidation allowBlank="1" showInputMessage="1" showErrorMessage="1" promptTitle="Heat Pump" prompt="Base efficiency for a heat pump is considered 100% unless determined otherwise with documented detail test results." sqref="I16:I17"/>
    <dataValidation type="list" allowBlank="1" showInputMessage="1" showErrorMessage="1" promptTitle="Utilized Funding" prompt="Select funding source to be used on the job, not just to replace the heating system" sqref="H30:J30 H7:J7">
      <formula1>"Select Funding Source, DOE, LIHEAP, DOE &amp; LIHEAP"</formula1>
    </dataValidation>
    <dataValidation allowBlank="1" showInputMessage="1" showErrorMessage="1" promptTitle="Existing SEER/EER" prompt="Enter the SEER or EER as found on the plate of the existing unit. If SEER/EER cannot be found on unit, refer to Table 3 to the right for approximate SEER/EER for unit._x000a_" sqref="I34"/>
    <dataValidation allowBlank="1" showInputMessage="1" showErrorMessage="1" promptTitle="Degraded SEER/EER" prompt="This will auto-calculate the degraded SEER/EER of the existing unit. " sqref="H40:I40"/>
    <dataValidation type="whole" allowBlank="1" showInputMessage="1" showErrorMessage="1" promptTitle="Manufactured Year" prompt="Enter the manufactured year as found on the plate of the existing unit. The manufactured year is either identified individually, or in the serial number (typically within first 4 digits). If age cannot be determined, this calculation is not applicable.._x000a_" sqref="H32:I32">
      <formula1>0</formula1>
      <formula2>2099</formula2>
    </dataValidation>
    <dataValidation type="list" allowBlank="1" showInputMessage="1" showErrorMessage="1" promptTitle="Cooling Equipment" prompt="Select central cooling equipment type" sqref="H31:J31">
      <formula1>"Select Cooling Equipment, Split System AC, Heat Pump, Evaporative Cooler"</formula1>
    </dataValidation>
    <dataValidation type="list" allowBlank="1" showInputMessage="1" showErrorMessage="1" promptTitle="Equipment Maintenance" prompt="Through discussion with the client, select the appropriate maintenance done on the piece of equipment being evaluated." sqref="H18:I18">
      <formula1>"Select Appropriate Maintenance Level, Annual Professional Maintenance, Seldom or Never Maintained"</formula1>
    </dataValidation>
    <dataValidation type="whole" allowBlank="1" showInputMessage="1" showErrorMessage="1" promptTitle="Manufactured Year" prompt="Enter the manufactured year as found on the plate of the existing unit. If the year cannot be determined, the age of this unit must be determined in another way; if age cannot be determined, this calculation is not applicable." sqref="H9:I9">
      <formula1>0</formula1>
      <formula2>2099</formula2>
    </dataValidation>
    <dataValidation allowBlank="1" showInputMessage="1" showErrorMessage="1" promptTitle="Gas Unit" prompt="Enter the AFUE/efficiency as found on the combustion analyzer test results during the assessment." sqref="H12"/>
    <dataValidation allowBlank="1" showInputMessage="1" showErrorMessage="1" promptTitle="Electric Resistance Heat" prompt="Base efficiency for electric resistance heating is considered 100% unless determined otherwise with documented detail test results." sqref="H14:I14"/>
    <dataValidation type="list" allowBlank="1" showInputMessage="1" showErrorMessage="1" promptTitle="Furnace Type" prompt="Select furnace type" sqref="H8:J8">
      <formula1>"Select Furnace Type, Gas Furnace, Electric Resistance Furnace, Heat Pump"</formula1>
    </dataValidation>
    <dataValidation type="whole" allowBlank="1" showInputMessage="1" showErrorMessage="1" promptTitle="Current Calendar Year" prompt="Enter the current calendar year as of the date of the assessment." sqref="J3">
      <formula1>0</formula1>
      <formula2>2099</formula2>
    </dataValidation>
    <dataValidation type="list" allowBlank="1" showInputMessage="1" showErrorMessage="1" promptTitle="Furnace Location" prompt="Select location of existing furnace" sqref="H6:J6">
      <formula1>"Select Furnace Location, Conditioned Space, Unconditioned Space"</formula1>
    </dataValidation>
  </dataValidations>
  <hyperlinks>
    <hyperlink ref="H41" r:id="rId1"/>
    <hyperlink ref="A27" r:id="rId2"/>
    <hyperlink ref="A32" r:id="rId3" display="Building Intelligence Center"/>
    <hyperlink ref="H42" r:id="rId4"/>
  </hyperlinks>
  <pageMargins left="0.7" right="0.7" top="0.25" bottom="0.2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"/>
  <sheetViews>
    <sheetView workbookViewId="0">
      <selection activeCell="A7" sqref="A7"/>
    </sheetView>
  </sheetViews>
  <sheetFormatPr defaultRowHeight="14.4" x14ac:dyDescent="0.3"/>
  <cols>
    <col min="8" max="8" width="12" bestFit="1" customWidth="1"/>
    <col min="9" max="9" width="15.109375" bestFit="1" customWidth="1"/>
  </cols>
  <sheetData>
    <row r="1" spans="1:10" x14ac:dyDescent="0.3">
      <c r="A1" t="s">
        <v>98</v>
      </c>
    </row>
    <row r="3" spans="1:10" x14ac:dyDescent="0.3">
      <c r="A3" s="68"/>
    </row>
    <row r="4" spans="1:10" x14ac:dyDescent="0.3">
      <c r="I4" s="66" t="s">
        <v>97</v>
      </c>
      <c r="J4" s="66" t="s">
        <v>108</v>
      </c>
    </row>
    <row r="5" spans="1:10" x14ac:dyDescent="0.3">
      <c r="H5" s="66">
        <f>'Degradation Calculator'!H12</f>
        <v>0</v>
      </c>
      <c r="I5" s="67" t="str">
        <f>IF(H5&gt;0,H5,IF('Degradation Calculator'!H8="Electric Resistance Furnace","N/A",IF('Degradation Calculator'!H8="Gas Furnace","N/A","")))</f>
        <v/>
      </c>
      <c r="J5" s="65" t="str">
        <f>IF('Degradation Calculator'!H9&gt;1,'Degradation Calculator'!I13,"")</f>
        <v/>
      </c>
    </row>
    <row r="6" spans="1:10" s="66" customFormat="1" x14ac:dyDescent="0.3">
      <c r="A6" s="66" t="s">
        <v>99</v>
      </c>
      <c r="B6" s="66" t="s">
        <v>100</v>
      </c>
      <c r="C6" s="66" t="s">
        <v>101</v>
      </c>
      <c r="D6" s="66" t="s">
        <v>102</v>
      </c>
      <c r="E6" s="66" t="s">
        <v>103</v>
      </c>
      <c r="F6" s="66" t="s">
        <v>104</v>
      </c>
      <c r="G6" s="66" t="s">
        <v>105</v>
      </c>
      <c r="H6" s="66" t="s">
        <v>106</v>
      </c>
      <c r="J6" s="66" t="s">
        <v>107</v>
      </c>
    </row>
    <row r="7" spans="1:10" s="65" customFormat="1" x14ac:dyDescent="0.3">
      <c r="A7" s="65" t="str">
        <f>IF('Degradation Calculator'!H7="DOE","TRUE","FALSE")</f>
        <v>FALSE</v>
      </c>
      <c r="B7" s="65" t="str">
        <f>IF('Degradation Calculator'!H7="LIHEAP","TRUE","FALSE")</f>
        <v>FALSE</v>
      </c>
      <c r="C7" s="65" t="str">
        <f>IF('Degradation Calculator'!H7="DOE &amp; LIHEAP","TRUE","FALSE")</f>
        <v>FALSE</v>
      </c>
      <c r="D7" s="65" t="str">
        <f>IF('Degradation Calculator'!H8="Gas Furnace","TRUE","FALSE")</f>
        <v>FALSE</v>
      </c>
      <c r="E7" s="65" t="str">
        <f>IF('Degradation Calculator'!H8="Electric Resistance Furnace","TRUE","FALSE")</f>
        <v>FALSE</v>
      </c>
      <c r="F7" s="65" t="str">
        <f>IF('Degradation Calculator'!H8="Heat Pump","TRUE","FALSE")</f>
        <v>FALSE</v>
      </c>
      <c r="G7" s="65" t="str">
        <f>IF('Degradation Calculator'!D13="TRUE","N/A",IF('Degradation Calculator'!E13="TRUE",1,IF('Degradation Calculator'!F13="TRUE","N/A","")))</f>
        <v/>
      </c>
      <c r="H7" s="65" t="b">
        <f>IF('Degradation Calculator'!H6="Conditioned Space","Conditioned",IF('Degradation Calculator'!H6="Unconditioned Space","Unconditioned",FALSE))</f>
        <v>0</v>
      </c>
      <c r="J7" s="65" t="str">
        <f>IF(AND('Degradation Calculator'!J3&lt;1,'Degradation Calculator'!H9&lt;1),"",IF(AND('Degradation Calculator'!D13="False",'Degradation Calculator'!H12=""),"N/A",IF(AND('Degradation Calculator'!D13="True",'Degradation Calculator'!H12&gt;0),'Degradation Calculator'!H12,IF(AND('Degradation Calculator'!D13="True",'Degradation Calculator'!H12&lt;1),"Requires combustion analyzer",IF(AND('Degradation Calculator'!H9&gt;1,'Degradation Calculator'!E13="TRUE"),"N/A",IF(AND('Degradation Calculator'!H9&gt;1,'Degradation Calculator'!F13="TRUE"),"N/A"))))))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Degradation Calculator</vt:lpstr>
      <vt:lpstr>Sheet1</vt:lpstr>
      <vt:lpstr>Sheet2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jgagne</dc:creator>
  <cp:lastModifiedBy>Chad Turner</cp:lastModifiedBy>
  <cp:lastPrinted>2024-04-03T18:10:48Z</cp:lastPrinted>
  <dcterms:created xsi:type="dcterms:W3CDTF">2017-01-20T20:09:41Z</dcterms:created>
  <dcterms:modified xsi:type="dcterms:W3CDTF">2024-04-04T15:38:31Z</dcterms:modified>
</cp:coreProperties>
</file>